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owellunited-my.sharepoint.com/personal/admin_powellunited_com/Documents/Desktop/"/>
    </mc:Choice>
  </mc:AlternateContent>
  <xr:revisionPtr revIDLastSave="4" documentId="8_{28622948-0617-423B-BBD4-3B05684AE394}" xr6:coauthVersionLast="47" xr6:coauthVersionMax="47" xr10:uidLastSave="{1BE25A21-9DC8-4008-A099-6F5657C4C9C5}"/>
  <bookViews>
    <workbookView xWindow="-120" yWindow="-120" windowWidth="29040" windowHeight="15720" activeTab="2" xr2:uid="{00000000-000D-0000-FFFF-FFFF00000000}"/>
  </bookViews>
  <sheets>
    <sheet name="Start Here" sheetId="1" r:id="rId1"/>
    <sheet name="Your Profile" sheetId="2" r:id="rId2"/>
    <sheet name="Your Five Opportunities" sheetId="3" r:id="rId3"/>
    <sheet name="Strategy Library" sheetId="4" r:id="rId4"/>
    <sheet name="How These Numbers Work" sheetId="5" r:id="rId5"/>
    <sheet name="Sources &amp; Notes" sheetId="6" r:id="rId6"/>
    <sheet name="Help &amp; Disclosures" sheetId="7" r:id="rId7"/>
    <sheet name="Rules" sheetId="8" state="hidden" r:id="rId8"/>
    <sheet name="Strategies" sheetId="9" state="hidden" r:id="rId9"/>
    <sheet name="Lists" sheetId="10" state="hidden" r:id="rId10"/>
    <sheet name="Calculations" sheetId="11" state="hidden" r:id="rId11"/>
    <sheet name="QA Checks"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9" i="12" l="1"/>
  <c r="B35" i="12"/>
  <c r="B34" i="12"/>
  <c r="B33" i="12"/>
  <c r="B32" i="12"/>
  <c r="B31" i="12"/>
  <c r="B30" i="12"/>
  <c r="B29" i="12"/>
  <c r="B28" i="12"/>
  <c r="B27" i="12"/>
  <c r="B26" i="12"/>
  <c r="B25" i="12"/>
  <c r="B24" i="12"/>
  <c r="B23" i="12"/>
  <c r="B22" i="12"/>
  <c r="B21" i="12"/>
  <c r="B20" i="12"/>
  <c r="B19" i="12"/>
  <c r="B18" i="12"/>
  <c r="B17" i="12"/>
  <c r="B16" i="12"/>
  <c r="B15" i="12"/>
  <c r="B14" i="12"/>
  <c r="B13" i="12"/>
  <c r="B12" i="12"/>
  <c r="B11" i="12"/>
  <c r="B10" i="12"/>
  <c r="B9" i="12"/>
  <c r="B8" i="12"/>
  <c r="B7" i="12"/>
  <c r="B6" i="12"/>
  <c r="B5" i="12"/>
  <c r="B70" i="11"/>
  <c r="B69" i="11"/>
  <c r="B68" i="11"/>
  <c r="B67" i="11"/>
  <c r="B66" i="11"/>
  <c r="B65" i="11"/>
  <c r="B64" i="11"/>
  <c r="B63" i="11"/>
  <c r="B62" i="11"/>
  <c r="B61" i="11"/>
  <c r="B60" i="11"/>
  <c r="B59" i="11"/>
  <c r="B58" i="11"/>
  <c r="B57" i="11"/>
  <c r="B53" i="11"/>
  <c r="B49" i="11"/>
  <c r="B46" i="11"/>
  <c r="B44" i="11"/>
  <c r="G151" i="4" s="1"/>
  <c r="B41" i="11"/>
  <c r="B36" i="11"/>
  <c r="B34" i="11"/>
  <c r="G109" i="4" s="1"/>
  <c r="B31" i="11"/>
  <c r="B27" i="11"/>
  <c r="B23" i="11"/>
  <c r="B20" i="11"/>
  <c r="B19" i="11"/>
  <c r="G66" i="4" s="1"/>
  <c r="B16" i="11"/>
  <c r="B15" i="11"/>
  <c r="G49" i="4" s="1"/>
  <c r="B13" i="11"/>
  <c r="B9" i="11"/>
  <c r="B6" i="11"/>
  <c r="B5" i="11"/>
  <c r="B4" i="11"/>
  <c r="B4" i="12" s="1"/>
  <c r="B72" i="11" l="1"/>
  <c r="B76" i="11"/>
  <c r="B75" i="11"/>
  <c r="B74" i="11"/>
  <c r="B73" i="11"/>
  <c r="B54" i="11"/>
  <c r="B65" i="12"/>
  <c r="B62" i="12"/>
  <c r="B58" i="12"/>
  <c r="G164" i="4"/>
  <c r="B57" i="12"/>
  <c r="B54" i="12"/>
  <c r="B51" i="12"/>
  <c r="B48" i="12"/>
  <c r="B45" i="12"/>
  <c r="B25" i="11"/>
  <c r="B24" i="11"/>
  <c r="B21" i="11"/>
  <c r="B41" i="12" s="1"/>
  <c r="B17" i="11"/>
  <c r="G48" i="4" s="1"/>
  <c r="B40" i="12"/>
  <c r="B38" i="12"/>
  <c r="A10" i="3"/>
  <c r="B22" i="11"/>
  <c r="B26" i="11"/>
  <c r="B12" i="11"/>
  <c r="B14" i="11" s="1"/>
  <c r="B30" i="11"/>
  <c r="B18" i="11"/>
  <c r="B35" i="11"/>
  <c r="B8" i="11"/>
  <c r="B47" i="11"/>
  <c r="B48" i="11"/>
  <c r="B40" i="11"/>
  <c r="B52" i="11"/>
  <c r="B55" i="11" s="1"/>
  <c r="B39" i="11"/>
  <c r="B45" i="11"/>
  <c r="B67" i="12" l="1"/>
  <c r="B66" i="12"/>
  <c r="B44" i="12"/>
  <c r="G81" i="4"/>
  <c r="B42" i="12"/>
  <c r="G67" i="4"/>
  <c r="B64" i="12"/>
  <c r="G208" i="4"/>
  <c r="B13" i="3"/>
  <c r="C13" i="3"/>
  <c r="D13" i="3"/>
  <c r="D17" i="3"/>
  <c r="C17" i="3"/>
  <c r="B17" i="3"/>
  <c r="D16" i="3"/>
  <c r="C16" i="3"/>
  <c r="B16" i="3"/>
  <c r="D15" i="3"/>
  <c r="C15" i="3"/>
  <c r="B15" i="3"/>
  <c r="C14" i="3"/>
  <c r="B14" i="3"/>
  <c r="D14" i="3"/>
  <c r="G207" i="4"/>
  <c r="B63" i="12"/>
  <c r="G80" i="4"/>
  <c r="B43" i="12"/>
  <c r="G35" i="4"/>
  <c r="B39" i="12"/>
  <c r="B29" i="11"/>
  <c r="B28" i="11"/>
  <c r="B33" i="11"/>
  <c r="B32" i="11"/>
  <c r="B38" i="11"/>
  <c r="B37" i="11"/>
  <c r="B10" i="11"/>
  <c r="B11" i="11"/>
  <c r="B50" i="11"/>
  <c r="B51" i="11"/>
  <c r="B42" i="11"/>
  <c r="B43" i="11"/>
  <c r="G95" i="4" l="1"/>
  <c r="B47" i="12"/>
  <c r="G108" i="4"/>
  <c r="B50" i="12"/>
  <c r="B53" i="12"/>
  <c r="G124" i="4"/>
  <c r="B36" i="12"/>
  <c r="G22" i="4"/>
  <c r="G23" i="4"/>
  <c r="B37" i="12"/>
  <c r="B60" i="12"/>
  <c r="G192" i="4"/>
  <c r="G193" i="4"/>
  <c r="B61" i="12"/>
  <c r="G150" i="4"/>
  <c r="B56" i="12"/>
  <c r="G94" i="4"/>
  <c r="B46" i="12"/>
  <c r="G107" i="4"/>
  <c r="B49" i="12"/>
  <c r="G123" i="4"/>
  <c r="B52" i="12"/>
  <c r="G149" i="4"/>
  <c r="B55" i="12"/>
</calcChain>
</file>

<file path=xl/sharedStrings.xml><?xml version="1.0" encoding="utf-8"?>
<sst xmlns="http://schemas.openxmlformats.org/spreadsheetml/2006/main" count="909" uniqueCount="604">
  <si>
    <t>Healthcare Tax Strategy Guide</t>
  </si>
  <si>
    <t>14 strategies, what each is worth on stated facts, and what each one costs you.</t>
  </si>
  <si>
    <t>Version 0.1.9  |  Tax year 2026  |  powellunited.com</t>
  </si>
  <si>
    <t>Start Here</t>
  </si>
  <si>
    <t>Your Profile</t>
  </si>
  <si>
    <t>Your Five Opportunities</t>
  </si>
  <si>
    <t>Strategy Library</t>
  </si>
  <si>
    <t>How These Numbers Work</t>
  </si>
  <si>
    <t>Sources &amp; Notes</t>
  </si>
  <si>
    <t>Help &amp; Disclosures</t>
  </si>
  <si>
    <t>Three questions. Then read.</t>
  </si>
  <si>
    <t>Answer three questions on the next sheet and five strategies will be highlighted for you. Every one of them stays available in the library -- the questions decide the order, never what you are allowed to see.</t>
  </si>
  <si>
    <t>What the numbers on this page are -- and are not</t>
  </si>
  <si>
    <t>*  Every figure here is worked from FIXED EXAMPLE FACTS that are printed beside it. Nothing is calculated from your answers.</t>
  </si>
  <si>
    <t>*  That is deliberate. A number calculated from three questions would look personal and would not be. These are illustrations you can check, not estimates of your tax.</t>
  </si>
  <si>
    <t>*  You can change the assumed tax rate on the next sheet. Where applicable, it changes only the final multiplication; fixed-rate examples and credits are labelled separately.</t>
  </si>
  <si>
    <t>*  Each strategy shows what it COSTS beside what it saves. A contribution that reduces tax by a third still leaves two thirds to fund.</t>
  </si>
  <si>
    <t>*  Nothing on this page is added together. The strategies overlap, and a total would be wrong.</t>
  </si>
  <si>
    <t>Four kinds of effect, kept separate</t>
  </si>
  <si>
    <t>Deduction</t>
  </si>
  <si>
    <t>Reduces taxable income. Worth the amount multiplied by your rate.</t>
  </si>
  <si>
    <t>Credit</t>
  </si>
  <si>
    <t>Comes off the tax bill directly. Not multiplied by anything.</t>
  </si>
  <si>
    <t>Payroll tax</t>
  </si>
  <si>
    <t>Social Security and Medicare. A different tax from income tax.</t>
  </si>
  <si>
    <t>Deferral</t>
  </si>
  <si>
    <t>Tax moved to a later year, not removed. Shown as a deferral.</t>
  </si>
  <si>
    <t xml:space="preserve">These illustrations are federal only. Texas imposes no individual income tax, though a Texas franchise tax may apply to the practice entity. State and local treatment is outside this document.
</t>
  </si>
  <si>
    <t>Three questions. They decide the order of what you see, nothing else.</t>
  </si>
  <si>
    <t xml:space="preserve">These prioritise only. No selection feeds any amount, any eligibility determination or any status. They decide which five strategies surface as spotlights; all remain in the library.
</t>
  </si>
  <si>
    <t>What is your practice's current structure?</t>
  </si>
  <si>
    <t>Roughly what does the practice earn in profit each year?</t>
  </si>
  <si>
    <t>How is the practice set up?</t>
  </si>
  <si>
    <t>Assumed tax rate for the examples</t>
  </si>
  <si>
    <t xml:space="preserve">The examples default to 32%. Change the rate here and the examples that follow it are recalculated at the rate you choose. THIS ONLY CHANGES THE FINAL MULTIPLICATION. It does not change any example's facts, does not decide whether a strategy applies to you, and never produces a combined total. One example -- the qualified business income deduction -- is worked at a fixed rate of its own and is labelled as such, because its facts place the taxpayer in a lower bracket.
</t>
  </si>
  <si>
    <t>Assumed marginal federal income-tax rate</t>
  </si>
  <si>
    <t>This is an assumption you are choosing for an example, not a statement about your own tax position. Your actual marginal rate depends on your whole return.</t>
  </si>
  <si>
    <t>The five most likely to be worth a conversation, based on your three answers.</t>
  </si>
  <si>
    <t>These five are ORDERED for you, not selected for you. Every strategy stays in the library, and being outside this five does not mean a strategy does not apply -- only that your three answers made it less likely to be the first conversation.</t>
  </si>
  <si>
    <t>#</t>
  </si>
  <si>
    <t>Strategy</t>
  </si>
  <si>
    <t>What kind of effect</t>
  </si>
  <si>
    <t>Go straight to it</t>
  </si>
  <si>
    <t>The figures for each are on the Strategy Library sheet, with the example facts they are worked from. They are not repeated here, because a number without its facts beside it is the thing this guide is trying not to be.</t>
  </si>
  <si>
    <t>The Powell United Tax Opportunity Review</t>
  </si>
  <si>
    <t xml:space="preserve">Everything in this guide is an example. A Tax Opportunity Review is the opposite: we look at your actual entity, profit, payroll, premises and any plans already in place, and work out which of these apply to your practice, in what order, and what each is worth to you rather than to the example. Where two of them conflict -- and several here do -- we model the comparison before you commit to either.
</t>
  </si>
  <si>
    <t>Book a Tax Opportunity Review</t>
  </si>
  <si>
    <t>Powell United  |  Houston, Texas  |  powellunited.com</t>
  </si>
  <si>
    <t>All of them, grouped by what decides whether they apply to you.</t>
  </si>
  <si>
    <t xml:space="preserve">Grouped by what gates each strategy, which maps onto the three profile selections. S-numbers are stable identifiers, NOT a ranking.
</t>
  </si>
  <si>
    <t>NOTHING ON THIS SHEET IS ADDED TOGETHER. These strategies overlap, several are mutually exclusive, and a combined figure would be wrong.</t>
  </si>
  <si>
    <t xml:space="preserve">Every figure below is an example. To see which of these apply to your practice, and what each is worth to you rather than to the example, book a Tax Opportunity Review.
</t>
  </si>
  <si>
    <t>Available to any owner-led practice</t>
  </si>
  <si>
    <t>No structural precondition.</t>
  </si>
  <si>
    <t>S6 - Equipment purchases and first-year depreciation</t>
  </si>
  <si>
    <t>Who it is for</t>
  </si>
  <si>
    <t>Nothing structural. Any practice buying equipment.</t>
  </si>
  <si>
    <t>What must be true</t>
  </si>
  <si>
    <t xml:space="preserve">Acquisition date and placed-in-service date both matter; business-use percentage; taxable-income limitation; property classification; listed-property rules.
</t>
  </si>
  <si>
    <t>The example</t>
  </si>
  <si>
    <t xml:space="preserve">$120,000 of clinical equipment, acquired after 19 January 2025, placed in service in 2026, 100% business use.
</t>
  </si>
  <si>
    <t>Federal income-tax effect, before QBI and other interactions</t>
  </si>
  <si>
    <t>If you receive the full QBI deduction, the effect is lower</t>
  </si>
  <si>
    <t>THIS IS A DEFERRAL. The tax is moved to a later year, not removed.</t>
  </si>
  <si>
    <t>What it costs you</t>
  </si>
  <si>
    <t xml:space="preserve">$120,000 spent. A deduction is not a discount -- reducing tax by roughly a third of the price still leaves the rest to pay.
</t>
  </si>
  <si>
    <t>How it interacts</t>
  </si>
  <si>
    <t xml:space="preserve">Competes with S1 and S4 for the same taxable income. Compounds with S3 where a study reclassifies property.
</t>
  </si>
  <si>
    <t>Worth knowing</t>
  </si>
  <si>
    <t xml:space="preserve">Spending to create a deduction only makes sense if you needed the equipment. The tax reduction is a discount on a purchase, never a reason for one.
</t>
  </si>
  <si>
    <t>S10 - Health savings account</t>
  </si>
  <si>
    <t>Nothing structural. Requires qualifying high-deductible coverage.</t>
  </si>
  <si>
    <t xml:space="preserve">HDHP coverage; no disqualifying other coverage; not enrolled in Medicare; not claimed as a dependent. Tested month by month.
</t>
  </si>
  <si>
    <t xml:space="preserve">Family high-deductible coverage, owner aged 54, contributing the family maximum.
</t>
  </si>
  <si>
    <t xml:space="preserve">An HSA contribution is a personal above-the-line deduction, not a business deduction, so it does not reduce qualified business income.
</t>
  </si>
  <si>
    <t xml:space="preserve">The full contribution paid in, and high-deductible coverage with the higher out-of-pocket exposure that implies.
</t>
  </si>
  <si>
    <t xml:space="preserve">Can be destroyed by S11. An arrangement paying before the deductible ends HSA eligibility.
</t>
  </si>
  <si>
    <t xml:space="preserve">The one item here where the money is never taxed at all rather than taxed later, provided it goes on qualified medical costs.
</t>
  </si>
  <si>
    <t>S8 - Qualified business income deduction (section 199A)</t>
  </si>
  <si>
    <t>Taxable income, not structure.</t>
  </si>
  <si>
    <t xml:space="preserve">Health is a specified service trade or business, so the deduction phases out above the threshold. The field-of-health category does not extend to services unrelated to a medical services field.
</t>
  </si>
  <si>
    <t xml:space="preserve">Married filing jointly, taxable income $350,000, qualified business income $180,000.
</t>
  </si>
  <si>
    <t>The arithmetic</t>
  </si>
  <si>
    <t xml:space="preserve">The deduction is the LESSER of 20% of QBI, which is $36,000, or 20% of taxable income, which is $70,000. $36,000 governs.
</t>
  </si>
  <si>
    <t>Worked at a FIXED rate, not the rate you selected</t>
  </si>
  <si>
    <t xml:space="preserve">This example is worked at a fixed rate rather than the one you selected. Its stated facts place the taxpayer below the section 199A threshold, which generally means a lower bracket, and applying a higher rate would contradict the very facts that make the deduction available in the example.
</t>
  </si>
  <si>
    <t xml:space="preserve">This IS the QBI deduction, so there is nothing for it to reduce. It is the other strategies that shrink it -- every business deduction on this page removes a dollar of qualified business income and therefore twenty cents of this.
</t>
  </si>
  <si>
    <t>None.</t>
  </si>
  <si>
    <t xml:space="preserve">THE ONE THAT CHANGES THE OTHERS. S1, S4 and S6 reduce taxable income and can bring a practice under the threshold, switching this on -- and conversely, every business deduction on this page reduces the QBI deduction for anyone already receiving it.
</t>
  </si>
  <si>
    <t xml:space="preserve">Whether a particular practice counts as a specified service trade or business is a fact-sensitive question, and it is the single input that most changes what everything else on this page is worth. It is the clearest reason not to choose strategies one at a time.
</t>
  </si>
  <si>
    <t>Depends on your entity structure</t>
  </si>
  <si>
    <t>Surfaces from selection 1.</t>
  </si>
  <si>
    <t>S2 - S-corporation election and reasonable compensation</t>
  </si>
  <si>
    <t>Currently a sole proprietorship or single-member LLC.</t>
  </si>
  <si>
    <t xml:space="preserve">Compensation must be reasonable for the services performed. Payroll infrastructure is required.
</t>
  </si>
  <si>
    <t xml:space="preserve">Sole proprietor with $300,000 of profit before owner compensation, reorganising as an S corporation paying $150,000 of W-2 wages. MARRIED FILING JOINTLY, with no wages or self-employment income other than this practice -- the $250,000 Additional Medicare threshold used below is the joint-return figure, and other earnings would consume part of it before this practice's income reached it.
</t>
  </si>
  <si>
    <t xml:space="preserve">AS A SOLE PROPRIETOR. Self-employment base $300,000 x 92.35% = $277,050. Social Security 12.4% x $184,500 wage base = $22,878. Medicare 2.9% x $277,050 = $8,034. Additional Medicare 0.9% x ($277,050 - $250,000) = $243. Total $31,155.
AS AN S CORPORATION. Wages $150,000. Social Security 12.4% x $150,000 = $18,600. Medicare 2.9% x $150,000 = $4,350. Additional Medicare nil, wages below the threshold. Total $22,950.
THE REMAINING DISTRIBUTION IS NOT $150,000. The corporation pays $150,000 of wages AND $11,475 of employer payroll tax, so $138,525 remains to distribute.
PAYROLL-TAX DIFFERENCE $8,205. Partially offset, because the two structures give different income-tax deductions for payroll tax paid. A sole proprietor deducts half of self-employment tax, excluding the Additional Medicare surtax, which is $15,456. The corporation deducts the employer half, $11,475. The deduction is $3,981 smaller, and the figure shown below applies your selected rate to that $3,981.
</t>
  </si>
  <si>
    <t>Estimated PAYROLL-TAX difference under this illustration</t>
  </si>
  <si>
    <t>Less income tax on the smaller deduction, at your selected rate</t>
  </si>
  <si>
    <t xml:space="preserve">Payroll-tax difference $8,205, less the income tax on $3,981 of lost deduction. THIS IS NOT A NET FIGURE -- qualified business income is not modelled here, and wages change the QBI position for anyone receiving that deduction.
</t>
  </si>
  <si>
    <t xml:space="preserve">Running payroll, higher return-preparation cost, and reasonable compensation that is documented and defensible. Costs vary; your adviser can price them.
</t>
  </si>
  <si>
    <t xml:space="preserve">A TRADEOFF WITH S7, not an opposition. Incorporating ends the child payroll-tax exemption that S7 depends on, while creating the payroll saving illustrated here. Which is larger depends on facts this page does not collect, and it is exactly the comparison worth modelling before restructuring. Also enables S13, which needs a separate payer.
</t>
  </si>
  <si>
    <t xml:space="preserve">The saving is a payroll-tax saving, not an income-tax one. Much of it comes from Social Security stopping at the wage base, which means it shrinks as the salary you can genuinely defend rises toward that base. That trade-off is the actual conversation.
</t>
  </si>
  <si>
    <t>S12 - Accountable plan reimbursements</t>
  </si>
  <si>
    <t>The owner must be an employee of the business, so not a sole proprietor.</t>
  </si>
  <si>
    <t xml:space="preserve">The legal requirements are a business connection, substantiation, and return of amounts paid in excess of substantiated expenses.
</t>
  </si>
  <si>
    <t xml:space="preserve">4,000 business miles January to June, 4,000 July to December, and $2,400 of business-use phone and internet.
</t>
  </si>
  <si>
    <t xml:space="preserve">4,000 x $0.725 = $2,900. 4,000 x $0.76 = $3,040. Plus $2,400 = $8,340.
</t>
  </si>
  <si>
    <t xml:space="preserve">Nothing beyond costs already incurred. The only item here that requires no new spending.
</t>
  </si>
  <si>
    <t xml:space="preserve">Conflicts with S9 on the same vehicle: the standard mileage rate and actual expenses cannot both be claimed for one vehicle.
</t>
  </si>
  <si>
    <t>Recommended practice</t>
  </si>
  <si>
    <t xml:space="preserve">POWELL UNITED RECOMMENDS A WRITTEN PLAN. It is not one of the three legal requirements above. It is how those three are evidenced in practice, and its absence is the usual reason they become hard to prove.
</t>
  </si>
  <si>
    <t xml:space="preserve">Two mileage rates apply because the published rate changed mid-year, so the date a mile was driven decides its value.
</t>
  </si>
  <si>
    <t>S13 - Renting your home to your practice</t>
  </si>
  <si>
    <t>Requires a business that is a separate payer, so not a sole proprietorship.</t>
  </si>
  <si>
    <t xml:space="preserve">Fewer than 15 days, a home used as a residence, genuine business meetings, and a rate supported by comparable venues.
</t>
  </si>
  <si>
    <t xml:space="preserve">S corporation, 14 days of documented meetings, $1,500 per day supported by local venue quotes.
</t>
  </si>
  <si>
    <t>14 days x $1,500 = $21,000 excluded from income.</t>
  </si>
  <si>
    <t xml:space="preserve">$21,000 actually paid by the business to the owner, with written agreements, minutes, and dated comparable quotes.
</t>
  </si>
  <si>
    <t xml:space="preserve">Requires a separate payer -- an S corporation, a C corporation, or a partnership. Section 280A(c)(6) removes both the home-office and rental-use exceptions where space is rented to your own employer, so this cannot be stacked with a home-office deduction on the same space.
</t>
  </si>
  <si>
    <t xml:space="preserve">In a reported Tax Court case roughly $290,900 of claimed rent was reduced to roughly $16,500, because there were no minutes and no evidence of what comparable venues charge. The arrangement was not rejected; the documentation was absent.
</t>
  </si>
  <si>
    <t>S7 - Employing your children</t>
  </si>
  <si>
    <t>A sole proprietorship, or a partnership of both parents.</t>
  </si>
  <si>
    <t xml:space="preserve">EACH CHILD MUST BE UNDER 18 for the payroll-tax exemption. That is the condition the statute turns on, and it is the one most often missed. Wages paid to an older child are still deductible if the work is real, but they are subject to Social Security and Medicare tax like any other employee's.
Beyond the age limit: genuine work, genuinely performed, at a reasonable wage, actually paid, with records.
</t>
  </si>
  <si>
    <t xml:space="preserve">Sole proprietor with $300,000 of profit, two children aged 15 and 17 -- both under 18, which is what the exemption requires -- each paid $15,000 for real administrative work. MARRIED FILING JOINTLY, with no wages or self-employment income other than this practice; the $250,000 Additional Medicare threshold used below is the joint-return figure.
</t>
  </si>
  <si>
    <t xml:space="preserve">INCOME TAX. Profit falls $30,000.
THE CHILDREN'S OWN TAX. A child who can be claimed as a dependent does not receive the full single standard deduction. The limit is the greater of $1,350 or earned income plus $450, capped at the ordinary amount -- so $15,450 here, which still covers $15,000 of wages.
PAYROLL TAX. The parent's self-employment base falls by $30,000 x 92.35% = $27,705. Social Security is unchanged, already above the $184,500 wage base. Medicare 2.9% x $27,705 = $803.
ADDITIONAL MEDICARE HAS A CEILING HERE. The base falls from $277,050 to $249,345, so only the $27,050 that sat above the $250,000 threshold escapes the surtax, not the whole $27,705. 0.9% x $27,050 = $243.
A SMALL AMOUNT COMES BACK. Lower self-employment tax means a smaller deduction for half of it. The Additional Medicare surtax is excluded from that deduction, so the deduction falls by half of $803, which is $402, and income tax on $402 is owed back.
</t>
  </si>
  <si>
    <t>Separate estimated PAYROLL-TAX effect</t>
  </si>
  <si>
    <t xml:space="preserve">$30,000 actually paid to the children, with timesheets and real duties.
</t>
  </si>
  <si>
    <t xml:space="preserve">A TRADEOFF WITH S2, not an opposition. Incorporating ends the payroll-tax exemption this depends on, while creating S2's payroll saving. The two should be compared, not ranked.
</t>
  </si>
  <si>
    <t xml:space="preserve">INCORPORATING ENDS THE SPECIAL EXEMPTION, NOT THE STRATEGY. While the practice is unincorporated, the wages of a child UNDER 18 are exempt from Social Security and Medicare tax. Incorporate and that particular exemption stops: the wages remain fully deductible and employing your children remains legitimate, but they become subject to payroll tax like any other employee's. The payroll-tax figure shown here is what disappears, and it is worth modelling against S2 before you restructure.
</t>
  </si>
  <si>
    <t>Depends on staff or premises</t>
  </si>
  <si>
    <t>Surfaces from selection 3.</t>
  </si>
  <si>
    <t>S3 - Cost segregation study</t>
  </si>
  <si>
    <t>Owning the premises.</t>
  </si>
  <si>
    <t xml:space="preserve">An engineering study is required. Recapture applies on sale, and passive-activity rules may limit current use.
</t>
  </si>
  <si>
    <t xml:space="preserve">A $2,000,000 building excluding land, ACQUIRED AFTER 19 JANUARY 2025 AND PLACED IN SERVICE IN 2026 -- the two facts that support 100% bonus depreciation on the reclassified property -- with a study reclassifying $400,000 to 5-, 7- and 15-year property.
</t>
  </si>
  <si>
    <t xml:space="preserve">An engineering study is required. Cost varies with the property; your adviser can obtain a quote.
</t>
  </si>
  <si>
    <t xml:space="preserve">Compounds with S6. Interacts with S5 where the building sits in a separate entity.
</t>
  </si>
  <si>
    <t xml:space="preserve">It moves deductions forward rather than creating new ones, which matters most when income is high now and expected to fall.
</t>
  </si>
  <si>
    <t>S5 - Renting your building to your practice</t>
  </si>
  <si>
    <t>Owning the premises, typically through a separate entity.</t>
  </si>
  <si>
    <t xml:space="preserve">Rent must be reasonable. The self-rental rule recharacterises net rental income as non-passive while leaving losses passive.
</t>
  </si>
  <si>
    <t>The practice pays $120,000 of annual rent to an LLC the owner controls.</t>
  </si>
  <si>
    <t xml:space="preserve">The practice deducts $120,000. The owner reports $120,000 of rental income. The two offset.
</t>
  </si>
  <si>
    <t>Approximately no income-tax reduction under this illustration -- the deduction and the income offset each other.</t>
  </si>
  <si>
    <t>A holding entity, a real lease, and genuine market rent.</t>
  </si>
  <si>
    <t xml:space="preserve">Lets S3 sit in a separate entity. The self-rental asymmetry matters where there are losses: net income is treated as non-passive, but losses stay passive.
</t>
  </si>
  <si>
    <t xml:space="preserve">This is included to show that it is usually not a tax saving. The reasons to do it are asset protection, building basis outside the practice, and flexibility on sale. As a deduction it is a wash.
</t>
  </si>
  <si>
    <t>S11 - Section 105 medical reimbursement plan</t>
  </si>
  <si>
    <t>A spouse genuinely employed by the practice.</t>
  </si>
  <si>
    <t xml:space="preserve">A written plan, a spouse who is a genuine employee with real duties, and nondiscrimination rules where other staff exist.
THIS ILLUSTRATION IS A SOLE PROPRIETORSHIP, AND THE TREATMENT DOES NOT CARRY ACROSS TO AN S CORPORATION. A shareholder owning more than 2 percent of an S corporation is treated as a partner rather than an employee for fringe-benefit purposes, so reimbursements are generally wages to them rather than an excludable benefit. And the more-than-2-percent test counts stock a person is "considered as owning" under the attribution rules -- which reaches an employed SPOUSE of the owner. In an S corporation, the spouse this strategy depends on is usually attributed the owner's stock and lands in the same category. Different structure, different answer, and it is the most common place this strategy is misapplied.
</t>
  </si>
  <si>
    <t xml:space="preserve">A SOLE PROPRIETOR, married filing jointly, with no wages or self-employment income other than this practice, and profit high enough that the whole $18,000 reduction sits above the $250,000 Additional Medicare threshold. Spouse genuinely employed. $18,000 of family medical costs reimbursed under a written section 105 plan.
</t>
  </si>
  <si>
    <t xml:space="preserve">PAYROLL TAX. The sole proprietor's self-employment base falls by $18,000 x 92.35% = $16,623. Medicare 2.9% = $482. Additional Medicare 0.9% = $150, which assumes the whole reduction sits above the $250,000 threshold, as the facts above state.
</t>
  </si>
  <si>
    <t xml:space="preserve">A plan document and its administration, and employment of the spouse that is real.
</t>
  </si>
  <si>
    <t xml:space="preserve">Can destroy S10. An arrangement paying before the deductible ends HSA eligibility.
</t>
  </si>
  <si>
    <t>Alternatives</t>
  </si>
  <si>
    <t xml:space="preserve">QSEHRA is capped at $6,450 self-only and $13,100 family for 2026, so it could not carry this $18,000 example. ICHRA has no statutory cap but its own rules.
</t>
  </si>
  <si>
    <t xml:space="preserve">Powerful where a spouse genuinely works in the practice, and it interacts badly with an HSA. The order in which these are set up matters more than either alone.
</t>
  </si>
  <si>
    <t>S14 - Retirement plan start-up tax credits</t>
  </si>
  <si>
    <t>Having employees, and starting a first plan.</t>
  </si>
  <si>
    <t xml:space="preserve">100 OR FEWER EMPLOYEES who each received at least $5,000 of compensation in the preceding year. At least one non-highly-compensated employee eligible to participate. And no qualified plan covering substantially the same employees in the three preceding tax years -- this is a credit for a FIRST plan, not for a replacement one.
THE CREDIT IS CAPPED BY WHAT YOU ACTUALLY SPEND. It is a percentage of qualified startup costs, meaning the ordinary and necessary costs of establishing and administering the plan and of retirement-related education. The dollar figure below is a ceiling, not an entitlement: spend less than the cap and the credit is the lesser amount. The same costs cannot be both deducted and claimed as this credit.
</t>
  </si>
  <si>
    <t xml:space="preserve">A practice with 8 employees, 7 of them non-highly-compensated and eligible to participate, establishing its first 401(k) -- with no qualified plan in the three prior years -- and actually incurring at least $1,750 of qualified startup costs in each of the three years.
</t>
  </si>
  <si>
    <t xml:space="preserve">The credit rate is 100% rather than the standard 50%, because there are 50 or fewer employees. The annual cap is the greater of $500, or the lesser of $250 per eligible non-highly-compensated employee -- 7 x $250 = $1,750 -- and $5,000. $1,750 governs.
At 100% of qualified startup costs, and on the stated assumption that at least $1,750 of such costs are actually incurred each year, that is $1,750 a year for three years. Incur less and the credit is less.
</t>
  </si>
  <si>
    <t>Estimated tax CREDIT under this illustration</t>
  </si>
  <si>
    <t>A credit comes off the tax bill directly. It is NOT multiplied by a tax rate and must not be compared with, or added to, any deduction figure here.</t>
  </si>
  <si>
    <t xml:space="preserve">Plan set-up and administration, substantially offset by the credit.
</t>
  </si>
  <si>
    <t xml:space="preserve">Pairs with S1 and S4. The credit offsets the cost of starting the plan that carries them. A separate credit for adding an automatic-enrolment feature may also apply.
</t>
  </si>
  <si>
    <t xml:space="preserve">A credit, not a deduction. It comes off the tax bill directly rather than off income, so it is not comparable to any deduction figure here and must not be added to one.
</t>
  </si>
  <si>
    <t>Depends on the scale of profit</t>
  </si>
  <si>
    <t>Surfaces from selection 2.</t>
  </si>
  <si>
    <t>S1 - Cash balance and defined benefit plans</t>
  </si>
  <si>
    <t>Sustained high profit, and an owner old enough for the arithmetic to favour them.</t>
  </si>
  <si>
    <t xml:space="preserve">Actuarially determined, with genuine intent to fund across several years, and subject to coverage and nondiscrimination testing.
</t>
  </si>
  <si>
    <t xml:space="preserve">A 52-year-old owner of an S corporation taking $150,000 of W-2 wages, with a spouse as the only other employee.
</t>
  </si>
  <si>
    <t>NO DOLLAR ILLUSTRATION FOR THIS STRATEGY</t>
  </si>
  <si>
    <t xml:space="preserve">No dollar figure is shown for this strategy, deliberately.
A cash balance contribution is not an amount anyone selects. An actuary calculates it from age, income, the benefit being funded and the plan's design, and it varies enough between two owners of the same age that an illustrated figure would mislead more than it informed.
The figure shown in the sources for this strategy is the most compensation a plan may take into account when it works out benefits. It is a ceiling on the pay that counts, not a contribution limit, and not what anyone would contribute.
For the right practice this is usually the largest single deduction available. Getting a real number requires an actuary, and that is the next step rather than a figure here.
</t>
  </si>
  <si>
    <t xml:space="preserve">A multi-year funding commitment in cash, plus actuarial and administration costs that vary with plan design. Your adviser can quote them.
</t>
  </si>
  <si>
    <t xml:space="preserve">Read with S4, never added to it. Where a defined benefit and a defined contribution plan cover the same people a combined deduction limit CAN apply -- but it is conditional, and several exceptions turn it off, including one for plans insured by the Pension Benefit Guaranty Corporation and one where contributions to the defined contribution plan stay small. Which of those applies to you decides whether the two strategies stack or compete, and it is worth settling before the second plan is set up rather than after. Reduces taxable income, so it interacts with S8.
</t>
  </si>
  <si>
    <t xml:space="preserve">The contribution is not a number you choose. An actuary determines it, and that is why this page does not show one -- an invented figure would be the most persuasive and least reliable number here.
</t>
  </si>
  <si>
    <t>S4 - Solo 401(k) with employer contribution</t>
  </si>
  <si>
    <t>Profit sufficient to fund it, and no non-owner eligible employees.</t>
  </si>
  <si>
    <t>No non-owner eligible employees, a plan document, and deadlines that matter.</t>
  </si>
  <si>
    <t>An owner-only S corporation, $150,000 of W-2 wages, owner aged 50.</t>
  </si>
  <si>
    <t xml:space="preserve">Employee deferral $24,500, plus the age-50 catch-up $8,000, for $32,500 of employee deferrals. Employer contribution: 25% of $150,000 = $37,500. The $24,500 regular deferral plus the $37,500 employer contribution equals $62,000 toward the $72,000 annual-additions limit. The $8,000 catch-up is permitted outside that limit, bringing the total contribution to $70,000.
</t>
  </si>
  <si>
    <t xml:space="preserve">Only the $37,500 employer contribution reduces qualified business income. The $32,500 of employee deferrals comes out of W-2 wages, which have already reduced the business's income, so the adjusted figure below is calculated on the employer contribution alone.
</t>
  </si>
  <si>
    <t>$70,000 contributed.</t>
  </si>
  <si>
    <t xml:space="preserve">Read with S1, never added. A combined deduction limit can apply where both a defined benefit and a defined contribution plan are in place, subject to exceptions -- see S1. Roth catch-up rules apply where prior-year wages exceeded $150,000.
</t>
  </si>
  <si>
    <t xml:space="preserve">If it is just you, this is the simplest large deduction available, and the ceiling is higher than it looks once the employer contribution is counted. Take on one eligible employee and the plan has to cover them too, which is where S14 becomes the relevant conversation instead.
</t>
  </si>
  <si>
    <t>S9 - Heavy vehicle first-year deduction</t>
  </si>
  <si>
    <t>A genuine business-use vehicle over 6,000 lb gross vehicle weight rating.</t>
  </si>
  <si>
    <t xml:space="preserve">Over 6,000 lb GVWR, business-use percentage substantiated, with recapture if business use later falls below half.
</t>
  </si>
  <si>
    <t xml:space="preserve">An $85,000 SUV over 6,000 lb GVWR, ACQUIRED AFTER 19 JANUARY 2025 AND PLACED IN SERVICE IN 2026 -- the two facts that support 100% bonus depreciation on the balance -- with 85% documented business use, giving $72,250 of business basis.
</t>
  </si>
  <si>
    <t xml:space="preserve">Section 179 for an SUV is capped at $32,000 for 2026. $32,000 under section 179, then 100% bonus depreciation on the remaining $40,250.
</t>
  </si>
  <si>
    <t xml:space="preserve">$85,000 spent, and a mileage log maintained for the life of the vehicle.
</t>
  </si>
  <si>
    <t xml:space="preserve">Conflicts with S12 on the same vehicle. The standard mileage rate and actual expenses cannot both be claimed for one vehicle.
</t>
  </si>
  <si>
    <t xml:space="preserve">The section 179 portion is capped; bonus depreciation carries the rest. The mileage log is not optional, and recapture applies if business use falls below half.
</t>
  </si>
  <si>
    <t>Read this before quoting any figure in this guide to anyone.</t>
  </si>
  <si>
    <t>Every figure is a worked example</t>
  </si>
  <si>
    <t>Each strategy states its facts, shows its arithmetic, and gives a result. None of it is computed from your three answers. If you recognise yourself in the facts, the number is a reasonable indication. If you do not, it is not your number.</t>
  </si>
  <si>
    <t>The rate you selected</t>
  </si>
  <si>
    <t xml:space="preserve">The reader may select an illustrative marginal rate. Where it applies, it scales the final multiplication of a fixed hypothetical deduction and NOTHING ELSE. It does not determine eligibility, does not change any deduction amount, does not change any status, and never produces a combined figure.
ONE EXAMPLE DOES NOT FOLLOW THE SELECTOR. The qualified business income example is worked at a fixed rate of its own, because its stated facts put the taxpayer below the threshold where that deduction is available and a higher rate would contradict them. That example is labelled where it appears.
</t>
  </si>
  <si>
    <t>Why deductions show two figures</t>
  </si>
  <si>
    <t xml:space="preserve">A business deduction reduces qualified business income as well as taxable income. For someone receiving the deduction, each dollar of business deduction also removes twenty cents of QBI deduction.
THE SECOND FIGURE ASSUMES A FULL 20% DEDUCTION. That is the only case it describes. Two separate income levels matter, and they are not the same number. Above the section 199A threshold amount the deduction begins to phase out for a specified service trade or business; it is not gone at that point. It is fully gone only above the top of the phase-in range. Between those two levels a partial deduction applies and the real effect sits somewhere between the two figures shown -- this guide does not model that middle range.
Medical practices are frequently, though not automatically, specified service trades or businesses. Where that applies and income is above the top of the range, no QBI deduction is received and the headline figure stands unadjusted.
</t>
  </si>
  <si>
    <t>Threshold amount, married filing jointly, where the phase-out begins</t>
  </si>
  <si>
    <t>Top of the phase-in range, above which a specified service trade or business receives nothing</t>
  </si>
  <si>
    <t>So the first figure is the plain arithmetic. The second assumes you receive the deduction in full. Between the two income levels above, part of it survives and the real effect sits between the two figures shown. Which case applies to you is a question for your adviser, and it is one of the more common places this gets misjudged.</t>
  </si>
  <si>
    <t>What is not here</t>
  </si>
  <si>
    <t>*  No total. The strategies overlap and several are mutually exclusive.</t>
  </si>
  <si>
    <t>*  No personalised figure. Your three answers change the order, never the numbers.</t>
  </si>
  <si>
    <t xml:space="preserve">*  No state or local tax. These illustrations are federal only. Texas imposes no individual income tax, though a Texas franchise tax may apply to the practice entity. State and local treatment is outside this document.
</t>
  </si>
  <si>
    <t>*  No advice. This guide names strategies and shows arithmetic; it does not tell you what to do.</t>
  </si>
  <si>
    <t>Every rule in this guide, and where to read it for yourself.</t>
  </si>
  <si>
    <t>Government sources only -- statutes, regulations, notices, revenue procedures and official IRS publications. Every link goes to the publisher of record rather than to somebody's summary of it, so you can check any figure in this guide yourself.</t>
  </si>
  <si>
    <t>Where the rules come from</t>
  </si>
  <si>
    <t>The law</t>
  </si>
  <si>
    <t>Used in</t>
  </si>
  <si>
    <t>Read it yourself</t>
  </si>
  <si>
    <t>26 CFR 1.199A-5(b)(2)(ii)</t>
  </si>
  <si>
    <t>S8</t>
  </si>
  <si>
    <t>Read it at irs.gov</t>
  </si>
  <si>
    <t>Treas. Reg. 1.199A-5(b)(2)(ii) — performance of services in the field of health</t>
  </si>
  <si>
    <t>Announcement 2026-11, Internal Revenue Bulletin 2026-29 (July 13, 2026)</t>
  </si>
  <si>
    <t>S12</t>
  </si>
  <si>
    <t>Announcement 2026-11, revised optional standard mileage rates for 2026</t>
  </si>
  <si>
    <t>IRC 105(b); IRC 9831(d)(2)(D); 2026 amounts at Rev. Proc. 2025-32 section 4.63</t>
  </si>
  <si>
    <t>S11</t>
  </si>
  <si>
    <t>Read it at uscode.house.gov</t>
  </si>
  <si>
    <t>26 U.S.C. 105(b) and the small-employer HRA limits</t>
  </si>
  <si>
    <t>IRC 1245; IRC 1250</t>
  </si>
  <si>
    <t>S6, S3</t>
  </si>
  <si>
    <t>26 U.S.C. 1245 and 1250, recapture on disposition</t>
  </si>
  <si>
    <t>IRC 1372(a); IRC 1372(b)</t>
  </si>
  <si>
    <t>26 U.S.C. 1372, partnership rules applied to fringe benefits</t>
  </si>
  <si>
    <t>IRC 1401(a), 1401(b)(1), 1401(b)(2); IRC 1402(a)(12)</t>
  </si>
  <si>
    <t>S2, S7, S11</t>
  </si>
  <si>
    <t>26 U.S.C. 1401 (self-employment tax rates) and 1402 (net earnings)</t>
  </si>
  <si>
    <t>IRC 162(a); IRC 162(a)(3)</t>
  </si>
  <si>
    <t>S2, S13, S5</t>
  </si>
  <si>
    <t>Read it at govinfo.gov</t>
  </si>
  <si>
    <t>26 U.S.C. 162, Trade or business expenses</t>
  </si>
  <si>
    <t>IRC 164(f)(1); IRC 164(f)(2)</t>
  </si>
  <si>
    <t>S2, S7</t>
  </si>
  <si>
    <t>26 U.S.C. 164(f), deduction for one-half of self-employment taxes</t>
  </si>
  <si>
    <t>IRC 168, 168(k); IRC 179, 179(b)(5) sport utility vehicle limitation</t>
  </si>
  <si>
    <t>S6, S3, S9</t>
  </si>
  <si>
    <t>26 U.S.C. 168 (MACRS) and 179 (election to expense)</t>
  </si>
  <si>
    <t>IRC 199A(a), 199A(b)(2), 199A(e)(2) threshold amount</t>
  </si>
  <si>
    <t>26 U.S.C. 199A, qualified business income deduction</t>
  </si>
  <si>
    <t>IRC 274(d); IRC 280F</t>
  </si>
  <si>
    <t>S12, S9</t>
  </si>
  <si>
    <t>26 U.S.C. 274(d) and 280F, substantiation and listed property</t>
  </si>
  <si>
    <t>IRC 280A(g), 280A(d)(1), 280A(c)(6)</t>
  </si>
  <si>
    <t>S13</t>
  </si>
  <si>
    <t>26 U.S.C. 280A, Disallowance of certain expenses in connection with business use of home, rental of vacation homes, etc.</t>
  </si>
  <si>
    <t>IRC 3121(b)(3)(A)</t>
  </si>
  <si>
    <t>S7</t>
  </si>
  <si>
    <t>26 U.S.C. 3121(b)(3)(A), employment excluding service by a child for a parent</t>
  </si>
  <si>
    <t>IRC 404(a)(7)</t>
  </si>
  <si>
    <t>S1, S4</t>
  </si>
  <si>
    <t>26 U.S.C. 404(a)(7), combined deduction limit for multiple plans</t>
  </si>
  <si>
    <t>IRC 414(v)(3)(A)</t>
  </si>
  <si>
    <t>S4</t>
  </si>
  <si>
    <t>26 U.S.C. 414(v), catch-up contributions for participants aged 50 or over</t>
  </si>
  <si>
    <t>IRC 45E(a), 45E(b), 45E(c)(1), 45E(d)(1), 45E(e)(4)</t>
  </si>
  <si>
    <t>S14</t>
  </si>
  <si>
    <t>26 U.S.C. 45E, small employer pension plan startup costs credit</t>
  </si>
  <si>
    <t>IRC 45T</t>
  </si>
  <si>
    <t>26 U.S.C. 45T, auto-enrolment option credit</t>
  </si>
  <si>
    <t>IRC 469(c)(2); 26 CFR 1.469-2(f)(6)</t>
  </si>
  <si>
    <t>S3, S5</t>
  </si>
  <si>
    <t>26 U.S.C. 469 and Treas. Reg. 1.469-2(f)(6), the self-rental rule</t>
  </si>
  <si>
    <t>IRC 63(c)(5); 2026 amounts at Rev. Proc. 2025-32 section 4.14(2)</t>
  </si>
  <si>
    <t>26 U.S.C. 63(c)(5), limitation on the standard deduction of a dependent</t>
  </si>
  <si>
    <t>IRS Instructions for Form 8889; IRC 223(b)(3)</t>
  </si>
  <si>
    <t>S10</t>
  </si>
  <si>
    <t>Instructions for Form 8889, Health Savings Accounts (HSAs)</t>
  </si>
  <si>
    <t>IRS, Retirement plans startup costs tax credit</t>
  </si>
  <si>
    <t>Notice 2025-67, Internal Revenue Bulletin 2025-49 (Dec. 1, 2025)</t>
  </si>
  <si>
    <t>S14, S1, S4</t>
  </si>
  <si>
    <t>Notice 2025-67 — 2026 Amounts Relating to Retirement Plans and IRAs</t>
  </si>
  <si>
    <t>Notice 2026-05, Internal Revenue Bulletin 2026-02 (January 5, 2026)</t>
  </si>
  <si>
    <t>Notice 2026-05 — guidance on new tax benefits for Health Savings Account participants under the One, Big, Beautiful Bill</t>
  </si>
  <si>
    <t>Notice 2026-10; IR-2025-128 (Dec. 29, 2025)</t>
  </si>
  <si>
    <t>Notice 2026-10, 2026 Standard Mileage Rates</t>
  </si>
  <si>
    <t>Notice 2026-11, issued January 14, 2026</t>
  </si>
  <si>
    <t>S6, S9</t>
  </si>
  <si>
    <t>Notice 2026-11 — Interim Guidance on Additional First Year Depreciation Deduction</t>
  </si>
  <si>
    <t>Rev. Proc. 2025-19, Internal Revenue Bulletin 2025-21 (May 19, 2025)</t>
  </si>
  <si>
    <t>Rev. Proc. 2025-19 — 2026 inflation adjusted amounts for HSAs and excepted benefit HRAs</t>
  </si>
  <si>
    <t>Rev. Proc. 2025-32, Internal Revenue Bulletin 2025-45 (Nov. 3, 2025)</t>
  </si>
  <si>
    <t>S6, S8, S11, S9</t>
  </si>
  <si>
    <t>Rev. Proc. 2025-32 — inflation adjusted items for tax year 2026</t>
  </si>
  <si>
    <t>Sinopoli v. Commissioner, T.C. Memo. 2023-105 (August 14, 2023)</t>
  </si>
  <si>
    <t>Read it at ustaxcourt.gov</t>
  </si>
  <si>
    <t>Sinopoli v. Commissioner, T.C. Memo. 2023-105</t>
  </si>
  <si>
    <t>Treas. Reg. 301.7701-2; Treas. Reg. 301.7701-3</t>
  </si>
  <si>
    <t>S2</t>
  </si>
  <si>
    <t>Read it at ecfr.gov</t>
  </si>
  <si>
    <t>26 CFR 301.7701-2 (business entities) and 301.7701-3 (elective classification)</t>
  </si>
  <si>
    <t>Where the numbers come from</t>
  </si>
  <si>
    <t>Each amount below is read from the publication named beside it, and is not typed anywhere else in this workbook.</t>
  </si>
  <si>
    <t>What it is</t>
  </si>
  <si>
    <t>Amount</t>
  </si>
  <si>
    <t>Published in</t>
  </si>
  <si>
    <t>Defined contribution annual additions limit, section 415(c)(1)(A)</t>
  </si>
  <si>
    <t>Notice 2025-67 -- IRB 2025-49, section 415(c)(1)(A)</t>
  </si>
  <si>
    <t>Annual compensation limit, sections 401(a)(17)/404(l)/408(k)(3)(C)/408(k)(6)(D)(ii)</t>
  </si>
  <si>
    <t>Notice 2025-67 -- IRB 2025-49, section 401(a)(17)</t>
  </si>
  <si>
    <t>Maximum days a residence may be rented under the section 280A(g) exclusion</t>
  </si>
  <si>
    <t>26 U.S.C. 280A(g) -- IRC 280A(g), 'Special rule for certain rental use'</t>
  </si>
  <si>
    <t>Additional first year depreciation deduction percentage, section 168(k)</t>
  </si>
  <si>
    <t>Notice 2026-11, Interim Guidance on Additional First Year Depreciation Deduction -- Notice 2026-11, IRB 2026-06, issued 2026-01-14; IRC 168(k), 168(k)(10); Reg. 1.168(k)-2(b)(5)</t>
  </si>
  <si>
    <t>Catch-up contribution limit, age 50 and over</t>
  </si>
  <si>
    <t>Notice 2025-67 -- IRB 2025-49; also IR-2025-111</t>
  </si>
  <si>
    <t>Elective deferral limit, 401(k)/403(b)/governmental 457(b)</t>
  </si>
  <si>
    <t>Notice 2025-67, 2026 Amounts Relating to Retirement Plans and IRAs -- IRB 2025-49; also IR-2025-111</t>
  </si>
  <si>
    <t>HSA additional contribution, age 55 or older by year end, section 223(b)(3)</t>
  </si>
  <si>
    <t>Instructions for Form 8889, Health Savings Accounts (HSAs) -- Line 7, additional contribution amount; IRC 223(b)(3)</t>
  </si>
  <si>
    <t>HSA annual contribution limitation, family HDHP coverage, section 223(b)(2)(B)</t>
  </si>
  <si>
    <t>Rev. Proc. 2025-19 -- IRB 2025-21, section 223(b)(2)(B)</t>
  </si>
  <si>
    <t>Default marginal federal income-tax rate used in rate-sensitive illustrations</t>
  </si>
  <si>
    <t>Product decision, not a statutory rate -- Assumption. Bracket schedule at Rev. Proc. 2025-32 section 4.01</t>
  </si>
  <si>
    <t>Standard mileage rate, business use, first half of 2026</t>
  </si>
  <si>
    <t>Notice 2026-10, 2026 Standard Mileage Rates; IR-2025-128 -- Notice 2026-10; IR-2025-128, Dec. 29 2025</t>
  </si>
  <si>
    <t>Standard mileage rate, business use, second half of 2026</t>
  </si>
  <si>
    <t>Announcement 2026-11, revised optional standard mileage rates -- Announcement 2026-11, IRB 2026-29 (July 13, 2026)</t>
  </si>
  <si>
    <t>Section 199A phase-in range ceiling, married filing jointly</t>
  </si>
  <si>
    <t>Rev. Proc. 2025-32 -- IRB 2025-45, section 4.26</t>
  </si>
  <si>
    <t>Section 199A(e)(2) threshold amount, married filing jointly</t>
  </si>
  <si>
    <t>Rev. Proc. 2025-32 -- IRB 2025-45, section 4.26 (section 199A)</t>
  </si>
  <si>
    <t>Roth catch-up wage threshold, section 414(v)(7)(A)</t>
  </si>
  <si>
    <t>Notice 2025-67 -- IRB 2025-49, section 414(v)(7)(A)</t>
  </si>
  <si>
    <t>Section 179 maximum expensing amount</t>
  </si>
  <si>
    <t>Rev. Proc. 2025-32 -- IRB 2025-45, section 4.24 (section 179)</t>
  </si>
  <si>
    <t>Standard deduction, unmarried individuals and married filing separately</t>
  </si>
  <si>
    <t>Rev. Proc. 2025-32 -- IRB 2025-45, section 4.14(1)</t>
  </si>
  <si>
    <t>Definitions this guide relies on</t>
  </si>
  <si>
    <t>These are tests and definitions rather than amounts. The wording that governs is at the link -- it is long, and paraphrasing it here is exactly how these get misremembered.</t>
  </si>
  <si>
    <t>What it decides</t>
  </si>
  <si>
    <t>Use as a residence, section 280A(d)(1)</t>
  </si>
  <si>
    <t>26 U.S.C. 280A(d)(1) -- IRC 280A(d)(1)</t>
  </si>
  <si>
    <t>The paying entity's deduction is a separate test under section 162(a)</t>
  </si>
  <si>
    <t>IRC 162(a) and 162(a)(3); Sinopoli v. Commissioner, T.C. Memo. 2023-105 -- IRC 162(a), 162(a)(3); Sinopoli v. Commissioner, T.C. Memo. 2023-105 (Aug. 14, 2023)</t>
  </si>
  <si>
    <t>Performance of services in the field of health, Treas. Reg. 1.199A-5(b)(2)(ii)</t>
  </si>
  <si>
    <t>Treas. Reg. 1.199A-5(b)(2)(ii); corroborated by the Instructions for Form 8995-A -- 26 CFR 1.199A-5(b)(2)(ii); Form 8995-A instructions, SSTB definition</t>
  </si>
  <si>
    <t>Tax law changes, and links occasionally move. Where a figure here differs from what you find at the link, the published source governs -- and we would be glad to know.</t>
  </si>
  <si>
    <t>Please read.</t>
  </si>
  <si>
    <t>*  This guide is provided for general educational and informational purposes only.</t>
  </si>
  <si>
    <t>*  It is not legal, tax, accounting, investment, insurance or retirement-plan advice, and it is not a substitute for professional advice about your own situation.</t>
  </si>
  <si>
    <t>*  It is not a tax return, a tax projection, an eligibility determination, or a guarantee of any outcome.</t>
  </si>
  <si>
    <t>*  Every figure is an illustration worked from stated example facts. No figure is calculated from anything you entered, and none is a statement about your own tax.</t>
  </si>
  <si>
    <t>*  Tax law changes. The rules used are current through the date shown and may have changed since.</t>
  </si>
  <si>
    <t>*  The focus is federal. State and local treatment may differ.</t>
  </si>
  <si>
    <t>*  The areas covered interact and must not be added together or implemented in isolation.</t>
  </si>
  <si>
    <t>*  Professional review is required before acting on anything here.</t>
  </si>
  <si>
    <t>*  Downloading or using this guide does not create an advisor-client relationship with Powell United.</t>
  </si>
  <si>
    <t>*  Do not enter protected health information, Social Security numbers, EINs, account numbers or other sensitive identifiers.</t>
  </si>
  <si>
    <t>Tax values, generated from rules/tax_rules_2026.yaml. Never typed.</t>
  </si>
  <si>
    <t>rule_id</t>
  </si>
  <si>
    <t>value</t>
  </si>
  <si>
    <t>unit</t>
  </si>
  <si>
    <t>status</t>
  </si>
  <si>
    <t>source</t>
  </si>
  <si>
    <t>ANNUAL_ADDITIONS_LIMIT_415C</t>
  </si>
  <si>
    <t>currency</t>
  </si>
  <si>
    <t>matthew_approved</t>
  </si>
  <si>
    <t>Notice 2025-67</t>
  </si>
  <si>
    <t>ANNUAL_COMPENSATION_LIMIT_401A17</t>
  </si>
  <si>
    <t>AUGUSTA_MAX_RENTAL_DAYS</t>
  </si>
  <si>
    <t>days</t>
  </si>
  <si>
    <t>26 U.S.C. 280A(g)</t>
  </si>
  <si>
    <t>AUGUSTA_RESIDENCE_PERSONAL_USE_TEST</t>
  </si>
  <si>
    <t xml:space="preserve">A taxpayer uses a dwelling unit as a residence if personal use exceeds the GREATER of 14 days, or 10 percent of the number of days during the year for which the unit is rented at a fair rental.
</t>
  </si>
  <si>
    <t>text</t>
  </si>
  <si>
    <t>26 U.S.C. 280A(d)(1)</t>
  </si>
  <si>
    <t>AUGUSTA_SECTION_162_REASONABLENESS</t>
  </si>
  <si>
    <t xml:space="preserve">Satisfying section 280A(g) on the owner's side does not establish the paying entity's deduction. Under section 162(a), including section 162(a)(3), the payer must establish an ordinary and necessary business expense and a reasonable rental amount. Reasonableness receives particular scrutiny in related-party dealings. The occurrence, business purpose, and rate must be supported by credible evidence; contemporaneous agreements, minutes, payment records, and local comparables are preferred substantiation.
</t>
  </si>
  <si>
    <t>IRC 162(a) and 162(a)(3); Sinopoli v. Commissioner, T.C. Memo. 2023-105</t>
  </si>
  <si>
    <t>BONUS_DEPRECIATION_PERCENTAGE</t>
  </si>
  <si>
    <t>percent_as_decimal</t>
  </si>
  <si>
    <t>Notice 2026-11, Interim Guidance on Additional First Year Depreciation Deduction</t>
  </si>
  <si>
    <t>CATCHUP_LIMIT_AGE_50</t>
  </si>
  <si>
    <t>DEFERRAL_LIMIT_402G</t>
  </si>
  <si>
    <t>Notice 2025-67, 2026 Amounts Relating to Retirement Plans and IRAs</t>
  </si>
  <si>
    <t>HEALTH_SSTB_DEFINITION</t>
  </si>
  <si>
    <t xml:space="preserve">INCLUDES the provision of medical services by individuals such as physicians, pharmacists, nurses, dentists, veterinarians, physical therapists, psychologists, and other similar healthcare professionals performing services in their capacity as such. DOES NOT INCLUDE the provision of services not directly related to a medical services field, even though the services may purportedly relate to the health of the service recipient -- for example, the operation of health clubs or health spas that provide physical exercise or conditioning, payment processing, or the research, testing, and manufacture and/or sale of pharmaceuticals or medical devices.
</t>
  </si>
  <si>
    <t>Treas. Reg. 1.199A-5(b)(2)(ii); corroborated by the Instructions for Form 8995-A</t>
  </si>
  <si>
    <t>HSA_CATCHUP_AGE_55</t>
  </si>
  <si>
    <t>HSA_CONTRIBUTION_LIMIT_FAMILY</t>
  </si>
  <si>
    <t>Rev. Proc. 2025-19</t>
  </si>
  <si>
    <t>ILLUSTRATION_ASSUMED_MARGINAL_RATE</t>
  </si>
  <si>
    <t>Product decision, not a statutory rate</t>
  </si>
  <si>
    <t>MILEAGE_BUSINESS_RATE_2026_H1</t>
  </si>
  <si>
    <t>currency_per_mile</t>
  </si>
  <si>
    <t>Notice 2026-10, 2026 Standard Mileage Rates; IR-2025-128</t>
  </si>
  <si>
    <t>MILEAGE_BUSINESS_RATE_2026_H2</t>
  </si>
  <si>
    <t>Announcement 2026-11, revised optional standard mileage rates</t>
  </si>
  <si>
    <t>QBI_PHASEIN_CEILING_MFJ</t>
  </si>
  <si>
    <t>Rev. Proc. 2025-32</t>
  </si>
  <si>
    <t>QBI_THRESHOLD_MFJ</t>
  </si>
  <si>
    <t>ROTH_CATCHUP_WAGE_THRESHOLD_414V7A</t>
  </si>
  <si>
    <t>SECTION_179_MAX_EXPENSING</t>
  </si>
  <si>
    <t>STANDARD_DEDUCTION_SINGLE_MFS</t>
  </si>
  <si>
    <t>Illustration parameters from rules/lead_magnet_strategies.yaml.</t>
  </si>
  <si>
    <t>id</t>
  </si>
  <si>
    <t>group</t>
  </si>
  <si>
    <t>name</t>
  </si>
  <si>
    <t>effect_type</t>
  </si>
  <si>
    <t>deduction</t>
  </si>
  <si>
    <t>credit</t>
  </si>
  <si>
    <t>payroll_effect</t>
  </si>
  <si>
    <t>offset_deduction_base</t>
  </si>
  <si>
    <t>reduces_qbi</t>
  </si>
  <si>
    <t>qbi_reducing_amount</t>
  </si>
  <si>
    <t>is_deferral</t>
  </si>
  <si>
    <t>rate_override</t>
  </si>
  <si>
    <t>S6</t>
  </si>
  <si>
    <t>A</t>
  </si>
  <si>
    <t>Equipment purchases and first-year depreciation</t>
  </si>
  <si>
    <t>yes</t>
  </si>
  <si>
    <t>Health savings account</t>
  </si>
  <si>
    <t>no</t>
  </si>
  <si>
    <t>Qualified business income deduction (section 199A)</t>
  </si>
  <si>
    <t>B</t>
  </si>
  <si>
    <t>S-corporation election and reasonable compensation</t>
  </si>
  <si>
    <t>payroll</t>
  </si>
  <si>
    <t>Accountable plan reimbursements</t>
  </si>
  <si>
    <t>Renting your home to your practice</t>
  </si>
  <si>
    <t>Employing your children</t>
  </si>
  <si>
    <t>S3</t>
  </si>
  <si>
    <t>C</t>
  </si>
  <si>
    <t>Cost segregation study</t>
  </si>
  <si>
    <t>S5</t>
  </si>
  <si>
    <t>Renting your building to your practice</t>
  </si>
  <si>
    <t>wash</t>
  </si>
  <si>
    <t>Section 105 medical reimbursement plan</t>
  </si>
  <si>
    <t>Retirement plan start-up tax credits</t>
  </si>
  <si>
    <t>S1</t>
  </si>
  <si>
    <t>D</t>
  </si>
  <si>
    <t>Cash balance and defined benefit plans</t>
  </si>
  <si>
    <t>no_illustration</t>
  </si>
  <si>
    <t>Solo 401(k) with employer contribution</t>
  </si>
  <si>
    <t>S9</t>
  </si>
  <si>
    <t>Heavy vehicle first-year deduction</t>
  </si>
  <si>
    <t>Answer options. One column per question.</t>
  </si>
  <si>
    <t>entity_structure</t>
  </si>
  <si>
    <t>profit_band</t>
  </si>
  <si>
    <t>staff_premises</t>
  </si>
  <si>
    <t>rate</t>
  </si>
  <si>
    <t>Sole proprietor or single-member LLC</t>
  </si>
  <si>
    <t>Under $150,000</t>
  </si>
  <si>
    <t>Just me</t>
  </si>
  <si>
    <t>Partnership or multi-member LLC</t>
  </si>
  <si>
    <t>$150,000 to $399,999</t>
  </si>
  <si>
    <t>Me plus staff</t>
  </si>
  <si>
    <t>S corporation</t>
  </si>
  <si>
    <t>$400,000 to $999,999</t>
  </si>
  <si>
    <t>I own my premises</t>
  </si>
  <si>
    <t>C corporation</t>
  </si>
  <si>
    <t>$1 million or more</t>
  </si>
  <si>
    <t>Both staff and premises</t>
  </si>
  <si>
    <t>Not sure</t>
  </si>
  <si>
    <t>Transparent helpers. Every step is its own cell.</t>
  </si>
  <si>
    <t>Illustration amounts come from Strategies. Tax values come from Rules.</t>
  </si>
  <si>
    <t>Selected illustrative rate</t>
  </si>
  <si>
    <t>Section 199A deduction rate assumed by the adjusted line</t>
  </si>
  <si>
    <t>All three profile questions answered</t>
  </si>
  <si>
    <t>Tiebreak divisor for relevance ordering</t>
  </si>
  <si>
    <t>S6 rate applied</t>
  </si>
  <si>
    <t>S6 illustrated deduction</t>
  </si>
  <si>
    <t>S6 income-tax effect before interactions</t>
  </si>
  <si>
    <t>S6 effect if receiving the full QBI deduction</t>
  </si>
  <si>
    <t>S10 rate applied</t>
  </si>
  <si>
    <t>S10 illustrated deduction</t>
  </si>
  <si>
    <t>S10 income-tax effect before interactions</t>
  </si>
  <si>
    <t>S8 rate applied</t>
  </si>
  <si>
    <t>S8 illustrated deduction</t>
  </si>
  <si>
    <t>S8 income-tax effect before interactions</t>
  </si>
  <si>
    <t>S2 rate applied</t>
  </si>
  <si>
    <t>S2 payroll-tax difference</t>
  </si>
  <si>
    <t>S2 income-tax deduction difference</t>
  </si>
  <si>
    <t>S2 income tax on that difference</t>
  </si>
  <si>
    <t>S12 rate applied</t>
  </si>
  <si>
    <t>S12 illustrated deduction</t>
  </si>
  <si>
    <t>S12 income-tax effect before interactions</t>
  </si>
  <si>
    <t>S12 effect if receiving the full QBI deduction</t>
  </si>
  <si>
    <t>S13 rate applied</t>
  </si>
  <si>
    <t>S13 illustrated deduction</t>
  </si>
  <si>
    <t>S13 income-tax effect before interactions</t>
  </si>
  <si>
    <t>S13 effect if receiving the full QBI deduction</t>
  </si>
  <si>
    <t>S7 rate applied</t>
  </si>
  <si>
    <t>S7 illustrated deduction</t>
  </si>
  <si>
    <t>S7 income-tax effect before interactions</t>
  </si>
  <si>
    <t>S7 effect if receiving the full QBI deduction</t>
  </si>
  <si>
    <t>S7 separate payroll-tax effect</t>
  </si>
  <si>
    <t>S3 rate applied</t>
  </si>
  <si>
    <t>S3 illustrated deduction</t>
  </si>
  <si>
    <t>S3 income-tax effect before interactions</t>
  </si>
  <si>
    <t>S3 effect if receiving the full QBI deduction</t>
  </si>
  <si>
    <t>S5 rate applied</t>
  </si>
  <si>
    <t>S11 rate applied</t>
  </si>
  <si>
    <t>S11 illustrated deduction</t>
  </si>
  <si>
    <t>S11 income-tax effect before interactions</t>
  </si>
  <si>
    <t>S11 effect if receiving the full QBI deduction</t>
  </si>
  <si>
    <t>S11 separate payroll-tax effect</t>
  </si>
  <si>
    <t>S14 rate applied</t>
  </si>
  <si>
    <t>S14 illustrated credit</t>
  </si>
  <si>
    <t>S1 rate applied</t>
  </si>
  <si>
    <t>S4 rate applied</t>
  </si>
  <si>
    <t>S4 illustrated deduction</t>
  </si>
  <si>
    <t>S4 income-tax effect before interactions</t>
  </si>
  <si>
    <t>S4 effect if receiving the full QBI deduction</t>
  </si>
  <si>
    <t>S9 rate applied</t>
  </si>
  <si>
    <t>S9 illustrated deduction</t>
  </si>
  <si>
    <t>S9 income-tax effect before interactions</t>
  </si>
  <si>
    <t>S9 effect if receiving the full QBI deduction</t>
  </si>
  <si>
    <t>Relevance scoring -- ordering only, never eligibility</t>
  </si>
  <si>
    <t>S6 relevance score</t>
  </si>
  <si>
    <t>S10 relevance score</t>
  </si>
  <si>
    <t>S8 relevance score</t>
  </si>
  <si>
    <t>S2 relevance score</t>
  </si>
  <si>
    <t>S12 relevance score</t>
  </si>
  <si>
    <t>S13 relevance score</t>
  </si>
  <si>
    <t>S7 relevance score</t>
  </si>
  <si>
    <t>S3 relevance score</t>
  </si>
  <si>
    <t>S5 relevance score</t>
  </si>
  <si>
    <t>S11 relevance score</t>
  </si>
  <si>
    <t>S14 relevance score</t>
  </si>
  <si>
    <t>S1 relevance score</t>
  </si>
  <si>
    <t>S4 relevance score</t>
  </si>
  <si>
    <t>S9 relevance score</t>
  </si>
  <si>
    <t>Spotlight positions -- which strategy is nth by relevance</t>
  </si>
  <si>
    <t>Position of the number 1 strategy</t>
  </si>
  <si>
    <t>Position of the number 2 strategy</t>
  </si>
  <si>
    <t>Position of the number 3 strategy</t>
  </si>
  <si>
    <t>Position of the number 4 strategy</t>
  </si>
  <si>
    <t>Position of the number 5 strategy</t>
  </si>
  <si>
    <t>Internal checks. Every row must read OK.</t>
  </si>
  <si>
    <t>Check</t>
  </si>
  <si>
    <t>Result</t>
  </si>
  <si>
    <t>Selected rate is one of the listed choices</t>
  </si>
  <si>
    <t>QBI rate is between zero and one, so the adjusted figure is smaller</t>
  </si>
  <si>
    <t>Predicate "sole_proprietor" option 0 still reads: Sole proprietor or single-member LLC</t>
  </si>
  <si>
    <t>Predicate "unincorporated" option 0 still reads: Sole proprietor or single-member LLC</t>
  </si>
  <si>
    <t>Predicate "unincorporated" option 1 still reads: Partnership or multi-member LLC</t>
  </si>
  <si>
    <t>Predicate "incorporated" option 2 still reads: S corporation</t>
  </si>
  <si>
    <t>Predicate "incorporated" option 3 still reads: C corporation</t>
  </si>
  <si>
    <t>Predicate "separate_payer" option 1 still reads: Partnership or multi-member LLC</t>
  </si>
  <si>
    <t>Predicate "separate_payer" option 2 still reads: S corporation</t>
  </si>
  <si>
    <t>Predicate "separate_payer" option 3 still reads: C corporation</t>
  </si>
  <si>
    <t>Predicate "high_profit" option 2 still reads: $400,000 to $999,999</t>
  </si>
  <si>
    <t>Predicate "high_profit" option 3 still reads: $1 million or more</t>
  </si>
  <si>
    <t>Predicate "has_staff" option 1 still reads: Me plus staff</t>
  </si>
  <si>
    <t>Predicate "has_staff" option 3 still reads: Both staff and premises</t>
  </si>
  <si>
    <t>Predicate "owns_premises" option 2 still reads: I own my premises</t>
  </si>
  <si>
    <t>Predicate "owns_premises" option 3 still reads: Both staff and premises</t>
  </si>
  <si>
    <t>Answer 1 of 5 for "entity_structure" still reads: Sole proprietor or single-member LLC</t>
  </si>
  <si>
    <t>Answer 2 of 5 for "entity_structure" still reads: Partnership or multi-member LLC</t>
  </si>
  <si>
    <t>Answer 3 of 5 for "entity_structure" still reads: S corporation</t>
  </si>
  <si>
    <t>Answer 4 of 5 for "entity_structure" still reads: C corporation</t>
  </si>
  <si>
    <t>Answer 5 of 5 for "entity_structure" still reads: Not sure</t>
  </si>
  <si>
    <t>"entity_structure" offers exactly 5 answers, no more and no fewer</t>
  </si>
  <si>
    <t>Answer 1 of 4 for "profit_band" still reads: Under $150,000</t>
  </si>
  <si>
    <t>Answer 2 of 4 for "profit_band" still reads: $150,000 to $399,999</t>
  </si>
  <si>
    <t>Answer 3 of 4 for "profit_band" still reads: $400,000 to $999,999</t>
  </si>
  <si>
    <t>Answer 4 of 4 for "profit_band" still reads: $1 million or more</t>
  </si>
  <si>
    <t>"profit_band" offers exactly 4 answers, no more and no fewer</t>
  </si>
  <si>
    <t>Answer 1 of 4 for "staff_premises" still reads: Just me</t>
  </si>
  <si>
    <t>Answer 2 of 4 for "staff_premises" still reads: Me plus staff</t>
  </si>
  <si>
    <t>Answer 3 of 4 for "staff_premises" still reads: I own my premises</t>
  </si>
  <si>
    <t>Answer 4 of 4 for "staff_premises" still reads: Both staff and premises</t>
  </si>
  <si>
    <t>"staff_premises" offers exactly 4 answers, no more and no fewer</t>
  </si>
  <si>
    <t>S6 headline equals its deduction times its rate</t>
  </si>
  <si>
    <t>S6 QBI-adjusted figure is strictly below the headline</t>
  </si>
  <si>
    <t>S6 QBI-reducing amount does not exceed the deduction itself</t>
  </si>
  <si>
    <t>S10 headline equals its deduction times its rate</t>
  </si>
  <si>
    <t>S8 headline equals its deduction times its rate</t>
  </si>
  <si>
    <t>S2 income-tax offset scales with the selected rate</t>
  </si>
  <si>
    <t>S2 offset is smaller than the payroll-tax difference it reduces</t>
  </si>
  <si>
    <t>S12 headline equals its deduction times its rate</t>
  </si>
  <si>
    <t>S12 QBI-adjusted figure is strictly below the headline</t>
  </si>
  <si>
    <t>S12 QBI-reducing amount does not exceed the deduction itself</t>
  </si>
  <si>
    <t>S13 headline equals its deduction times its rate</t>
  </si>
  <si>
    <t>S13 QBI-adjusted figure is strictly below the headline</t>
  </si>
  <si>
    <t>S13 QBI-reducing amount does not exceed the deduction itself</t>
  </si>
  <si>
    <t>S7 headline equals its deduction times its rate</t>
  </si>
  <si>
    <t>S7 QBI-adjusted figure is strictly below the headline</t>
  </si>
  <si>
    <t>S7 QBI-reducing amount does not exceed the deduction itself</t>
  </si>
  <si>
    <t>S3 headline equals its deduction times its rate</t>
  </si>
  <si>
    <t>S3 QBI-adjusted figure is strictly below the headline</t>
  </si>
  <si>
    <t>S3 QBI-reducing amount does not exceed the deduction itself</t>
  </si>
  <si>
    <t>S11 headline equals its deduction times its rate</t>
  </si>
  <si>
    <t>S11 QBI-adjusted figure is strictly below the headline</t>
  </si>
  <si>
    <t>S11 QBI-reducing amount does not exceed the deduction itself</t>
  </si>
  <si>
    <t>S14 credit is NOT multiplied by any rate</t>
  </si>
  <si>
    <t>S1 has no illustrated amount of any kind</t>
  </si>
  <si>
    <t>S4 headline equals its deduction times its rate</t>
  </si>
  <si>
    <t>S4 QBI-adjusted figure is strictly below the headline</t>
  </si>
  <si>
    <t>S4 QBI-reducing amount does not exceed the deduction itself</t>
  </si>
  <si>
    <t>S9 headline equals its deduction times its rate</t>
  </si>
  <si>
    <t>S9 QBI-adjusted figure is strictly below the headline</t>
  </si>
  <si>
    <t>S9 QBI-reducing amount does not exceed the deduction itself</t>
  </si>
  <si>
    <t>The five spotlight positions are five different strategies</t>
  </si>
  <si>
    <t>Every spotlight position resolves to a strategy when the profile is answered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</si>
</sst>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0" x14ac:knownFonts="1">
    <font>
      <sz val="11"/>
      <color theme="1"/>
      <name val="Calibri"/>
      <family val="2"/>
      <scheme val="minor"/>
    </font>
    <font>
      <b/>
      <sz val="11"/>
      <color rgb="FF1F2328"/>
      <name val="Aptos"/>
    </font>
    <font>
      <sz val="11"/>
      <color rgb="FF1F2328"/>
      <name val="Aptos"/>
    </font>
    <font>
      <b/>
      <sz val="20"/>
      <color rgb="FF8C172D"/>
      <name val="Georgia"/>
    </font>
    <font>
      <i/>
      <sz val="12"/>
      <color rgb="FF5B6169"/>
      <name val="Georgia"/>
    </font>
    <font>
      <sz val="9"/>
      <color rgb="FF5B6169"/>
      <name val="Aptos"/>
    </font>
    <font>
      <b/>
      <sz val="9"/>
      <color rgb="FF1F2328"/>
      <name val="Aptos"/>
    </font>
    <font>
      <b/>
      <u/>
      <sz val="10"/>
      <color rgb="FF8C172D"/>
      <name val="Aptos"/>
    </font>
    <font>
      <b/>
      <sz val="13"/>
      <color rgb="FF8C172D"/>
      <name val="Georgia"/>
    </font>
    <font>
      <i/>
      <sz val="11"/>
      <color rgb="FF1F2328"/>
      <name val="Aptos"/>
    </font>
  </fonts>
  <fills count="7">
    <fill>
      <patternFill patternType="none"/>
    </fill>
    <fill>
      <patternFill patternType="gray125"/>
    </fill>
    <fill>
      <patternFill patternType="solid">
        <fgColor rgb="FFF5EFE6"/>
      </patternFill>
    </fill>
    <fill>
      <patternFill patternType="solid">
        <fgColor rgb="FFFFF8E1"/>
      </patternFill>
    </fill>
    <fill>
      <patternFill patternType="solid">
        <fgColor rgb="FFE8F0E3"/>
      </patternFill>
    </fill>
    <fill>
      <patternFill patternType="solid">
        <fgColor rgb="FFFBF0D9"/>
      </patternFill>
    </fill>
    <fill>
      <patternFill patternType="solid">
        <fgColor rgb="FFEDEEF0"/>
      </patternFill>
    </fill>
  </fills>
  <borders count="9">
    <border>
      <left/>
      <right/>
      <top/>
      <bottom/>
      <diagonal/>
    </border>
    <border>
      <left/>
      <right/>
      <top/>
      <bottom style="medium">
        <color rgb="FF8C172D"/>
      </bottom>
      <diagonal/>
    </border>
    <border>
      <left/>
      <right/>
      <top/>
      <bottom style="medium">
        <color rgb="FF8C172D"/>
      </bottom>
      <diagonal/>
    </border>
    <border>
      <left style="thin">
        <color rgb="FFD8C4A8"/>
      </left>
      <right style="thin">
        <color rgb="FFD8C4A8"/>
      </right>
      <top style="thin">
        <color rgb="FFD8C4A8"/>
      </top>
      <bottom style="thin">
        <color rgb="FFD8C4A8"/>
      </bottom>
      <diagonal/>
    </border>
    <border>
      <left/>
      <right style="thin">
        <color rgb="FFD8C4A8"/>
      </right>
      <top style="thin">
        <color rgb="FFD8C4A8"/>
      </top>
      <bottom style="thin">
        <color rgb="FFD8C4A8"/>
      </bottom>
      <diagonal/>
    </border>
    <border>
      <left/>
      <right/>
      <top style="thin">
        <color rgb="FFD8C4A8"/>
      </top>
      <bottom style="thin">
        <color rgb="FFD8C4A8"/>
      </bottom>
      <diagonal/>
    </border>
    <border>
      <left style="thin">
        <color rgb="FFC9A227"/>
      </left>
      <right style="thin">
        <color rgb="FFC9A227"/>
      </right>
      <top style="thin">
        <color rgb="FFC9A227"/>
      </top>
      <bottom style="thin">
        <color rgb="FFC9A227"/>
      </bottom>
      <diagonal/>
    </border>
    <border>
      <left/>
      <right/>
      <top style="thin">
        <color rgb="FFC9A227"/>
      </top>
      <bottom style="thin">
        <color rgb="FFC9A227"/>
      </bottom>
      <diagonal/>
    </border>
    <border>
      <left/>
      <right style="thin">
        <color rgb="FFC9A227"/>
      </right>
      <top style="thin">
        <color rgb="FFC9A227"/>
      </top>
      <bottom style="thin">
        <color rgb="FFC9A227"/>
      </bottom>
      <diagonal/>
    </border>
  </borders>
  <cellStyleXfs count="1">
    <xf numFmtId="0" fontId="0" fillId="0" borderId="0"/>
  </cellStyleXfs>
  <cellXfs count="47">
    <xf numFmtId="0" fontId="0" fillId="0" borderId="0" xfId="0"/>
    <xf numFmtId="0" fontId="3" fillId="0" borderId="0" xfId="0" applyFont="1"/>
    <xf numFmtId="9" fontId="2" fillId="3" borderId="6" xfId="0" applyNumberFormat="1" applyFont="1" applyFill="1" applyBorder="1" applyAlignment="1" applyProtection="1">
      <alignment vertical="center"/>
      <protection locked="0"/>
    </xf>
    <xf numFmtId="0" fontId="1" fillId="2" borderId="3" xfId="0" applyFont="1" applyFill="1" applyBorder="1"/>
    <xf numFmtId="0" fontId="1" fillId="0" borderId="3" xfId="0" applyFont="1" applyBorder="1"/>
    <xf numFmtId="0" fontId="1" fillId="0" borderId="3" xfId="0" applyFont="1" applyBorder="1" applyAlignment="1">
      <alignment horizontal="left" vertical="top" wrapText="1"/>
    </xf>
    <xf numFmtId="0" fontId="2" fillId="0" borderId="3" xfId="0" applyFont="1" applyBorder="1" applyAlignment="1">
      <alignment horizontal="left" vertical="top" wrapText="1"/>
    </xf>
    <xf numFmtId="0" fontId="7" fillId="0" borderId="3" xfId="0" applyFont="1" applyBorder="1" applyAlignment="1">
      <alignment horizontal="left" vertical="top" wrapText="1"/>
    </xf>
    <xf numFmtId="0" fontId="8" fillId="0" borderId="1" xfId="0" applyFont="1" applyBorder="1"/>
    <xf numFmtId="0" fontId="0" fillId="0" borderId="1" xfId="0" applyBorder="1"/>
    <xf numFmtId="164" fontId="1" fillId="0" borderId="3" xfId="0" applyNumberFormat="1" applyFont="1" applyBorder="1"/>
    <xf numFmtId="0" fontId="1" fillId="0" borderId="0" xfId="0" applyFont="1"/>
    <xf numFmtId="0" fontId="1" fillId="2" borderId="0" xfId="0" applyFont="1" applyFill="1"/>
    <xf numFmtId="0" fontId="2" fillId="0" borderId="0" xfId="0" applyFont="1"/>
    <xf numFmtId="9" fontId="2" fillId="0" borderId="0" xfId="0" applyNumberFormat="1" applyFont="1"/>
    <xf numFmtId="0" fontId="5" fillId="0" borderId="0" xfId="0" applyFont="1"/>
    <xf numFmtId="164" fontId="2" fillId="0" borderId="0" xfId="0" applyNumberFormat="1" applyFont="1"/>
    <xf numFmtId="0" fontId="2" fillId="0" borderId="0" xfId="0" applyFont="1" applyAlignment="1">
      <alignment horizontal="left" vertical="top" wrapText="1"/>
    </xf>
    <xf numFmtId="0" fontId="0" fillId="0" borderId="0" xfId="0"/>
    <xf numFmtId="0" fontId="9" fillId="3" borderId="3" xfId="0" applyFont="1" applyFill="1" applyBorder="1" applyAlignment="1">
      <alignment horizontal="left" vertical="top" wrapText="1"/>
    </xf>
    <xf numFmtId="0" fontId="0" fillId="0" borderId="5" xfId="0" applyBorder="1"/>
    <xf numFmtId="0" fontId="0" fillId="0" borderId="4" xfId="0" applyBorder="1"/>
    <xf numFmtId="0" fontId="1" fillId="2" borderId="3" xfId="0" applyFont="1" applyFill="1" applyBorder="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5" fillId="0" borderId="1" xfId="0" applyFont="1" applyBorder="1" applyAlignment="1">
      <alignment horizontal="left" vertical="top" wrapText="1"/>
    </xf>
    <xf numFmtId="0" fontId="0" fillId="0" borderId="2" xfId="0" applyBorder="1"/>
    <xf numFmtId="0" fontId="4" fillId="0" borderId="0" xfId="0"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center" wrapText="1"/>
    </xf>
    <xf numFmtId="0" fontId="2" fillId="3" borderId="6" xfId="0" applyFont="1" applyFill="1" applyBorder="1" applyAlignment="1" applyProtection="1">
      <alignment vertical="center"/>
      <protection locked="0"/>
    </xf>
    <xf numFmtId="0" fontId="0" fillId="0" borderId="7" xfId="0" applyBorder="1" applyProtection="1">
      <protection locked="0"/>
    </xf>
    <xf numFmtId="0" fontId="0" fillId="0" borderId="8" xfId="0" applyBorder="1" applyProtection="1">
      <protection locked="0"/>
    </xf>
    <xf numFmtId="0" fontId="5" fillId="0" borderId="0" xfId="0" applyFont="1" applyAlignment="1">
      <alignment horizontal="left" vertical="top" wrapText="1"/>
    </xf>
    <xf numFmtId="0" fontId="1" fillId="0" borderId="0" xfId="0" applyFont="1" applyAlignment="1">
      <alignment horizontal="left" vertical="center" wrapText="1"/>
    </xf>
    <xf numFmtId="0" fontId="7" fillId="0" borderId="3" xfId="0" applyFont="1" applyBorder="1" applyAlignment="1">
      <alignment horizontal="left" vertical="top" wrapText="1"/>
    </xf>
    <xf numFmtId="0" fontId="1" fillId="0" borderId="0" xfId="0" applyFont="1" applyAlignment="1">
      <alignment horizontal="left" vertical="top" wrapText="1"/>
    </xf>
    <xf numFmtId="0" fontId="2" fillId="3" borderId="3" xfId="0" applyFont="1" applyFill="1" applyBorder="1" applyAlignment="1">
      <alignment horizontal="left" vertical="top" wrapText="1"/>
    </xf>
    <xf numFmtId="164" fontId="1" fillId="0" borderId="3" xfId="0" applyNumberFormat="1" applyFont="1" applyBorder="1" applyAlignment="1">
      <alignment vertical="center"/>
    </xf>
    <xf numFmtId="0" fontId="8" fillId="2" borderId="0" xfId="0" applyFont="1" applyFill="1" applyAlignment="1">
      <alignment horizontal="left" vertical="top" wrapText="1"/>
    </xf>
    <xf numFmtId="164" fontId="1" fillId="4" borderId="3" xfId="0" applyNumberFormat="1" applyFont="1" applyFill="1" applyBorder="1" applyAlignment="1">
      <alignment vertical="center"/>
    </xf>
    <xf numFmtId="0" fontId="1" fillId="5" borderId="3" xfId="0" applyFont="1" applyFill="1" applyBorder="1" applyAlignment="1">
      <alignment horizontal="left" vertical="top" wrapText="1"/>
    </xf>
    <xf numFmtId="9" fontId="1" fillId="5" borderId="3" xfId="0" applyNumberFormat="1" applyFont="1" applyFill="1" applyBorder="1" applyAlignment="1">
      <alignment vertical="center"/>
    </xf>
    <xf numFmtId="0" fontId="1" fillId="6" borderId="3" xfId="0" applyFont="1" applyFill="1" applyBorder="1" applyAlignment="1">
      <alignment horizontal="left" vertical="top" wrapText="1"/>
    </xf>
    <xf numFmtId="0" fontId="9" fillId="0" borderId="0" xfId="0" applyFont="1" applyAlignment="1">
      <alignment horizontal="left" vertical="top" wrapText="1"/>
    </xf>
    <xf numFmtId="0" fontId="1" fillId="3" borderId="3" xfId="0" applyFont="1" applyFill="1" applyBorder="1" applyAlignment="1">
      <alignment horizontal="left" vertical="top" wrapText="1"/>
    </xf>
    <xf numFmtId="0" fontId="1" fillId="0" borderId="3" xfId="0" applyFont="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scheduler.zoom.us/powell-united-financial-services"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scheduler.zoom.us/powell-united-financial-services" TargetMode="External"/><Relationship Id="rId1" Type="http://schemas.openxmlformats.org/officeDocument/2006/relationships/hyperlink" Target="https://scheduler.zoom.us/powell-united-financial-services"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uscode.house.gov/view.xhtml?req=(title:26%20section:3121%20edition:prelim)" TargetMode="External"/><Relationship Id="rId18" Type="http://schemas.openxmlformats.org/officeDocument/2006/relationships/hyperlink" Target="https://uscode.house.gov/view.xhtml?req=(title:26%20section:469%20edition:prelim)" TargetMode="External"/><Relationship Id="rId26" Type="http://schemas.openxmlformats.org/officeDocument/2006/relationships/hyperlink" Target="https://www.irs.gov/irb/2025-21_IRB" TargetMode="External"/><Relationship Id="rId39" Type="http://schemas.openxmlformats.org/officeDocument/2006/relationships/hyperlink" Target="https://www.irs.gov/pub/irs-drop/n-26-10.pdf" TargetMode="External"/><Relationship Id="rId21" Type="http://schemas.openxmlformats.org/officeDocument/2006/relationships/hyperlink" Target="https://www.irs.gov/retirement-plans/retirement-plans-startup-costs-tax-credit" TargetMode="External"/><Relationship Id="rId34" Type="http://schemas.openxmlformats.org/officeDocument/2006/relationships/hyperlink" Target="https://www.irs.gov/irb/2025-49_IRB" TargetMode="External"/><Relationship Id="rId42" Type="http://schemas.openxmlformats.org/officeDocument/2006/relationships/hyperlink" Target="https://www.irs.gov/irb/2025-45_IRB" TargetMode="External"/><Relationship Id="rId47" Type="http://schemas.openxmlformats.org/officeDocument/2006/relationships/hyperlink" Target="https://www.govinfo.gov/content/pkg/USCODE-2024-title26/html/USCODE-2024-title26-subtitleA-chap1-subchapB-partVI-sec162.htm" TargetMode="External"/><Relationship Id="rId7" Type="http://schemas.openxmlformats.org/officeDocument/2006/relationships/hyperlink" Target="https://www.govinfo.gov/content/pkg/USCODE-2024-title26/html/USCODE-2024-title26-subtitleA-chap1-subchapB-partVI-sec162.htm" TargetMode="External"/><Relationship Id="rId2" Type="http://schemas.openxmlformats.org/officeDocument/2006/relationships/hyperlink" Target="https://www.irs.gov/irb/2026-29_irb" TargetMode="External"/><Relationship Id="rId16" Type="http://schemas.openxmlformats.org/officeDocument/2006/relationships/hyperlink" Target="https://uscode.house.gov/view.xhtml?req=(title:26%20section:45E%20edition:prelim)" TargetMode="External"/><Relationship Id="rId29" Type="http://schemas.openxmlformats.org/officeDocument/2006/relationships/hyperlink" Target="https://www.ecfr.gov/current/title-26/section-301.7701-2" TargetMode="External"/><Relationship Id="rId1" Type="http://schemas.openxmlformats.org/officeDocument/2006/relationships/hyperlink" Target="https://www.irs.gov/instructions/i8995a" TargetMode="External"/><Relationship Id="rId6" Type="http://schemas.openxmlformats.org/officeDocument/2006/relationships/hyperlink" Target="https://uscode.house.gov/view.xhtml?req=(title:26%20section:1401%20edition:prelim)" TargetMode="External"/><Relationship Id="rId11" Type="http://schemas.openxmlformats.org/officeDocument/2006/relationships/hyperlink" Target="https://uscode.house.gov/view.xhtml?req=(title:26%20section:274%20edition:prelim)" TargetMode="External"/><Relationship Id="rId24" Type="http://schemas.openxmlformats.org/officeDocument/2006/relationships/hyperlink" Target="https://www.irs.gov/pub/irs-drop/n-26-10.pdf" TargetMode="External"/><Relationship Id="rId32" Type="http://schemas.openxmlformats.org/officeDocument/2006/relationships/hyperlink" Target="https://www.govinfo.gov/content/pkg/USCODE-2024-title26/html/USCODE-2024-title26-subtitleA-chap1-subchapB-partIX-sec280A.htm" TargetMode="External"/><Relationship Id="rId37" Type="http://schemas.openxmlformats.org/officeDocument/2006/relationships/hyperlink" Target="https://www.irs.gov/irb/2025-21_IRB" TargetMode="External"/><Relationship Id="rId40" Type="http://schemas.openxmlformats.org/officeDocument/2006/relationships/hyperlink" Target="https://www.irs.gov/irb/2026-29_irb" TargetMode="External"/><Relationship Id="rId45" Type="http://schemas.openxmlformats.org/officeDocument/2006/relationships/hyperlink" Target="https://www.irs.gov/irb/2025-45_IRB" TargetMode="External"/><Relationship Id="rId5" Type="http://schemas.openxmlformats.org/officeDocument/2006/relationships/hyperlink" Target="https://uscode.house.gov/view.xhtml?req=(title:26%20section:1372%20edition:prelim)" TargetMode="External"/><Relationship Id="rId15" Type="http://schemas.openxmlformats.org/officeDocument/2006/relationships/hyperlink" Target="https://uscode.house.gov/view.xhtml?req=(title:26%20section:414%20edition:prelim)" TargetMode="External"/><Relationship Id="rId23" Type="http://schemas.openxmlformats.org/officeDocument/2006/relationships/hyperlink" Target="https://www.irs.gov/newsroom/treasury-irs-provide-guidance-on-new-tax-benefits-for-health-savings-account-participants-under-the-one-big-beautiful-bill" TargetMode="External"/><Relationship Id="rId28" Type="http://schemas.openxmlformats.org/officeDocument/2006/relationships/hyperlink" Target="https://www.ustaxcourt.gov/find-an-opinion/" TargetMode="External"/><Relationship Id="rId36" Type="http://schemas.openxmlformats.org/officeDocument/2006/relationships/hyperlink" Target="https://www.irs.gov/instructions/i8889" TargetMode="External"/><Relationship Id="rId10" Type="http://schemas.openxmlformats.org/officeDocument/2006/relationships/hyperlink" Target="https://uscode.house.gov/view.xhtml?req=(title:26%20section:199A%20edition:prelim)" TargetMode="External"/><Relationship Id="rId19" Type="http://schemas.openxmlformats.org/officeDocument/2006/relationships/hyperlink" Target="https://uscode.house.gov/view.xhtml?req=(title:26%20section:63%20edition:prelim)" TargetMode="External"/><Relationship Id="rId31" Type="http://schemas.openxmlformats.org/officeDocument/2006/relationships/hyperlink" Target="https://www.irs.gov/irb/2025-49_IRB" TargetMode="External"/><Relationship Id="rId44" Type="http://schemas.openxmlformats.org/officeDocument/2006/relationships/hyperlink" Target="https://www.irs.gov/irb/2025-45_IRB" TargetMode="External"/><Relationship Id="rId4" Type="http://schemas.openxmlformats.org/officeDocument/2006/relationships/hyperlink" Target="https://uscode.house.gov/view.xhtml?req=(title:26%20section:1245%20edition:prelim)" TargetMode="External"/><Relationship Id="rId9" Type="http://schemas.openxmlformats.org/officeDocument/2006/relationships/hyperlink" Target="https://uscode.house.gov/view.xhtml?req=(title:26%20section:168%20edition:prelim)" TargetMode="External"/><Relationship Id="rId14" Type="http://schemas.openxmlformats.org/officeDocument/2006/relationships/hyperlink" Target="https://uscode.house.gov/view.xhtml?req=(title:26%20section:404%20edition:prelim)" TargetMode="External"/><Relationship Id="rId22" Type="http://schemas.openxmlformats.org/officeDocument/2006/relationships/hyperlink" Target="https://www.irs.gov/irb/2025-49_IRB" TargetMode="External"/><Relationship Id="rId27" Type="http://schemas.openxmlformats.org/officeDocument/2006/relationships/hyperlink" Target="https://www.irs.gov/irb/2025-45_IRB" TargetMode="External"/><Relationship Id="rId30" Type="http://schemas.openxmlformats.org/officeDocument/2006/relationships/hyperlink" Target="https://www.irs.gov/irb/2025-49_IRB" TargetMode="External"/><Relationship Id="rId35" Type="http://schemas.openxmlformats.org/officeDocument/2006/relationships/hyperlink" Target="https://www.irs.gov/irb/2025-49_IRB" TargetMode="External"/><Relationship Id="rId43" Type="http://schemas.openxmlformats.org/officeDocument/2006/relationships/hyperlink" Target="https://www.irs.gov/irb/2025-49_IRB" TargetMode="External"/><Relationship Id="rId48" Type="http://schemas.openxmlformats.org/officeDocument/2006/relationships/hyperlink" Target="https://www.irs.gov/instructions/i8995a" TargetMode="External"/><Relationship Id="rId8" Type="http://schemas.openxmlformats.org/officeDocument/2006/relationships/hyperlink" Target="https://uscode.house.gov/view.xhtml?req=(title:26%20section:164%20edition:prelim)" TargetMode="External"/><Relationship Id="rId3" Type="http://schemas.openxmlformats.org/officeDocument/2006/relationships/hyperlink" Target="https://uscode.house.gov/view.xhtml?req=(title:26%20section:105%20edition:prelim)" TargetMode="External"/><Relationship Id="rId12" Type="http://schemas.openxmlformats.org/officeDocument/2006/relationships/hyperlink" Target="https://www.govinfo.gov/content/pkg/USCODE-2024-title26/html/USCODE-2024-title26-subtitleA-chap1-subchapB-partIX-sec280A.htm" TargetMode="External"/><Relationship Id="rId17" Type="http://schemas.openxmlformats.org/officeDocument/2006/relationships/hyperlink" Target="https://uscode.house.gov/view.xhtml?req=(title:26%20section:45T%20edition:prelim)" TargetMode="External"/><Relationship Id="rId25" Type="http://schemas.openxmlformats.org/officeDocument/2006/relationships/hyperlink" Target="https://www.irs.gov/newsroom/treasury-irs-issue-guidance-on-the-additional-first-year-depreciation-deduction-amended-as-part-of-the-one-big-beautiful-bill" TargetMode="External"/><Relationship Id="rId33" Type="http://schemas.openxmlformats.org/officeDocument/2006/relationships/hyperlink" Target="https://www.irs.gov/irb/2026-06_IRB" TargetMode="External"/><Relationship Id="rId38" Type="http://schemas.openxmlformats.org/officeDocument/2006/relationships/hyperlink" Target="https://www.irs.gov/irb/2025-45_IRB" TargetMode="External"/><Relationship Id="rId46" Type="http://schemas.openxmlformats.org/officeDocument/2006/relationships/hyperlink" Target="https://www.govinfo.gov/content/pkg/USCODE-2024-title26/html/USCODE-2024-title26-subtitleA-chap1-subchapB-partIX-sec280A.htm" TargetMode="External"/><Relationship Id="rId20" Type="http://schemas.openxmlformats.org/officeDocument/2006/relationships/hyperlink" Target="https://www.irs.gov/instructions/i8889" TargetMode="External"/><Relationship Id="rId41" Type="http://schemas.openxmlformats.org/officeDocument/2006/relationships/hyperlink" Target="https://www.irs.gov/irb/2025-45_IRB"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scheduler.zoom.us/powell-united-financial-serv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C172D"/>
  </sheetPr>
  <dimension ref="A1:H24"/>
  <sheetViews>
    <sheetView showGridLines="0" workbookViewId="0">
      <pane ySplit="8" topLeftCell="A9" activePane="bottomLeft" state="frozen"/>
      <selection pane="bottomLeft" activeCell="N55" sqref="N55"/>
    </sheetView>
  </sheetViews>
  <sheetFormatPr defaultRowHeight="15" x14ac:dyDescent="0.25"/>
  <cols>
    <col min="1" max="1" width="22" customWidth="1"/>
    <col min="2" max="2" width="20" customWidth="1"/>
    <col min="3" max="3" width="26" customWidth="1"/>
    <col min="4" max="4" width="22" customWidth="1"/>
    <col min="5" max="8" width="20" customWidth="1"/>
  </cols>
  <sheetData>
    <row r="1" spans="1:8" ht="25.5" x14ac:dyDescent="0.35">
      <c r="A1" s="1" t="s">
        <v>0</v>
      </c>
    </row>
    <row r="2" spans="1:8" ht="30" customHeight="1" x14ac:dyDescent="0.25">
      <c r="A2" s="27" t="s">
        <v>1</v>
      </c>
      <c r="B2" s="18"/>
      <c r="C2" s="18"/>
      <c r="D2" s="18"/>
      <c r="E2" s="18"/>
      <c r="F2" s="18"/>
      <c r="G2" s="18"/>
      <c r="H2" s="18"/>
    </row>
    <row r="3" spans="1:8" ht="16.899999999999999" customHeight="1" x14ac:dyDescent="0.25">
      <c r="A3" s="25" t="s">
        <v>2</v>
      </c>
      <c r="B3" s="26"/>
      <c r="C3" s="26"/>
      <c r="D3" s="26"/>
      <c r="E3" s="26"/>
      <c r="F3" s="26"/>
      <c r="G3" s="26"/>
      <c r="H3" s="26"/>
    </row>
    <row r="5" spans="1:8" ht="18" customHeight="1" x14ac:dyDescent="0.25">
      <c r="A5" s="28" t="s">
        <v>3</v>
      </c>
      <c r="B5" s="18"/>
      <c r="C5" s="23" t="s">
        <v>4</v>
      </c>
      <c r="D5" s="18"/>
      <c r="E5" s="23" t="s">
        <v>5</v>
      </c>
      <c r="F5" s="18"/>
      <c r="G5" s="23" t="s">
        <v>6</v>
      </c>
      <c r="H5" s="18"/>
    </row>
    <row r="6" spans="1:8" ht="18" customHeight="1" x14ac:dyDescent="0.25">
      <c r="A6" s="23" t="s">
        <v>7</v>
      </c>
      <c r="B6" s="18"/>
      <c r="C6" s="23" t="s">
        <v>8</v>
      </c>
      <c r="D6" s="18"/>
      <c r="E6" s="23" t="s">
        <v>9</v>
      </c>
      <c r="F6" s="18"/>
    </row>
    <row r="8" spans="1:8" ht="22.15" customHeight="1" x14ac:dyDescent="0.25">
      <c r="A8" s="24" t="s">
        <v>10</v>
      </c>
      <c r="B8" s="18"/>
      <c r="C8" s="18"/>
      <c r="D8" s="18"/>
      <c r="E8" s="18"/>
      <c r="F8" s="18"/>
      <c r="G8" s="18"/>
      <c r="H8" s="18"/>
    </row>
    <row r="9" spans="1:8" ht="39.950000000000003" customHeight="1" x14ac:dyDescent="0.25">
      <c r="A9" s="17" t="s">
        <v>11</v>
      </c>
      <c r="B9" s="18"/>
      <c r="C9" s="18"/>
      <c r="D9" s="18"/>
      <c r="E9" s="18"/>
      <c r="F9" s="18"/>
      <c r="G9" s="18"/>
      <c r="H9" s="18"/>
    </row>
    <row r="11" spans="1:8" ht="22.15" customHeight="1" x14ac:dyDescent="0.25">
      <c r="A11" s="24" t="s">
        <v>12</v>
      </c>
      <c r="B11" s="18"/>
      <c r="C11" s="18"/>
      <c r="D11" s="18"/>
      <c r="E11" s="18"/>
      <c r="F11" s="18"/>
      <c r="G11" s="18"/>
      <c r="H11" s="18"/>
    </row>
    <row r="12" spans="1:8" ht="32.1" customHeight="1" x14ac:dyDescent="0.25">
      <c r="A12" s="17" t="s">
        <v>13</v>
      </c>
      <c r="B12" s="18"/>
      <c r="C12" s="18"/>
      <c r="D12" s="18"/>
      <c r="E12" s="18"/>
      <c r="F12" s="18"/>
      <c r="G12" s="18"/>
      <c r="H12" s="18"/>
    </row>
    <row r="13" spans="1:8" ht="33.950000000000003" customHeight="1" x14ac:dyDescent="0.25">
      <c r="A13" s="17" t="s">
        <v>14</v>
      </c>
      <c r="B13" s="18"/>
      <c r="C13" s="18"/>
      <c r="D13" s="18"/>
      <c r="E13" s="18"/>
      <c r="F13" s="18"/>
      <c r="G13" s="18"/>
      <c r="H13" s="18"/>
    </row>
    <row r="14" spans="1:8" ht="33.950000000000003" customHeight="1" x14ac:dyDescent="0.25">
      <c r="A14" s="17" t="s">
        <v>15</v>
      </c>
      <c r="B14" s="18"/>
      <c r="C14" s="18"/>
      <c r="D14" s="18"/>
      <c r="E14" s="18"/>
      <c r="F14" s="18"/>
      <c r="G14" s="18"/>
      <c r="H14" s="18"/>
    </row>
    <row r="15" spans="1:8" ht="32.1" customHeight="1" x14ac:dyDescent="0.25">
      <c r="A15" s="17" t="s">
        <v>16</v>
      </c>
      <c r="B15" s="18"/>
      <c r="C15" s="18"/>
      <c r="D15" s="18"/>
      <c r="E15" s="18"/>
      <c r="F15" s="18"/>
      <c r="G15" s="18"/>
      <c r="H15" s="18"/>
    </row>
    <row r="16" spans="1:8" ht="32.1" customHeight="1" x14ac:dyDescent="0.25">
      <c r="A16" s="17" t="s">
        <v>17</v>
      </c>
      <c r="B16" s="18"/>
      <c r="C16" s="18"/>
      <c r="D16" s="18"/>
      <c r="E16" s="18"/>
      <c r="F16" s="18"/>
      <c r="G16" s="18"/>
      <c r="H16" s="18"/>
    </row>
    <row r="18" spans="1:8" ht="22.15" customHeight="1" x14ac:dyDescent="0.25">
      <c r="A18" s="24" t="s">
        <v>18</v>
      </c>
      <c r="B18" s="18"/>
      <c r="C18" s="18"/>
      <c r="D18" s="18"/>
      <c r="E18" s="18"/>
      <c r="F18" s="18"/>
      <c r="G18" s="18"/>
      <c r="H18" s="18"/>
    </row>
    <row r="19" spans="1:8" ht="24" customHeight="1" x14ac:dyDescent="0.25">
      <c r="A19" s="22" t="s">
        <v>19</v>
      </c>
      <c r="B19" s="21"/>
      <c r="C19" s="17" t="s">
        <v>20</v>
      </c>
      <c r="D19" s="18"/>
      <c r="E19" s="18"/>
      <c r="F19" s="18"/>
      <c r="G19" s="18"/>
      <c r="H19" s="18"/>
    </row>
    <row r="20" spans="1:8" ht="24" customHeight="1" x14ac:dyDescent="0.25">
      <c r="A20" s="22" t="s">
        <v>21</v>
      </c>
      <c r="B20" s="21"/>
      <c r="C20" s="17" t="s">
        <v>22</v>
      </c>
      <c r="D20" s="18"/>
      <c r="E20" s="18"/>
      <c r="F20" s="18"/>
      <c r="G20" s="18"/>
      <c r="H20" s="18"/>
    </row>
    <row r="21" spans="1:8" ht="24" customHeight="1" x14ac:dyDescent="0.25">
      <c r="A21" s="22" t="s">
        <v>23</v>
      </c>
      <c r="B21" s="21"/>
      <c r="C21" s="17" t="s">
        <v>24</v>
      </c>
      <c r="D21" s="18"/>
      <c r="E21" s="18"/>
      <c r="F21" s="18"/>
      <c r="G21" s="18"/>
      <c r="H21" s="18"/>
    </row>
    <row r="22" spans="1:8" ht="24" customHeight="1" x14ac:dyDescent="0.25">
      <c r="A22" s="22" t="s">
        <v>25</v>
      </c>
      <c r="B22" s="21"/>
      <c r="C22" s="17" t="s">
        <v>26</v>
      </c>
      <c r="D22" s="18"/>
      <c r="E22" s="18"/>
      <c r="F22" s="18"/>
      <c r="G22" s="18"/>
      <c r="H22" s="18"/>
    </row>
    <row r="24" spans="1:8" ht="48.6" customHeight="1" x14ac:dyDescent="0.25">
      <c r="A24" s="19" t="s">
        <v>27</v>
      </c>
      <c r="B24" s="20"/>
      <c r="C24" s="20"/>
      <c r="D24" s="20"/>
      <c r="E24" s="20"/>
      <c r="F24" s="20"/>
      <c r="G24" s="20"/>
      <c r="H24" s="21"/>
    </row>
  </sheetData>
  <sheetProtection sheet="1"/>
  <mergeCells count="27">
    <mergeCell ref="A3:H3"/>
    <mergeCell ref="E6:F6"/>
    <mergeCell ref="C19:H19"/>
    <mergeCell ref="A21:B21"/>
    <mergeCell ref="A2:H2"/>
    <mergeCell ref="A5:B5"/>
    <mergeCell ref="G5:H5"/>
    <mergeCell ref="A14:H14"/>
    <mergeCell ref="A8:H8"/>
    <mergeCell ref="A20:B20"/>
    <mergeCell ref="A19:B19"/>
    <mergeCell ref="A13:H13"/>
    <mergeCell ref="C20:H20"/>
    <mergeCell ref="C5:D5"/>
    <mergeCell ref="E5:F5"/>
    <mergeCell ref="A11:H11"/>
    <mergeCell ref="C22:H22"/>
    <mergeCell ref="A24:H24"/>
    <mergeCell ref="A22:B22"/>
    <mergeCell ref="A6:B6"/>
    <mergeCell ref="C21:H21"/>
    <mergeCell ref="A16:H16"/>
    <mergeCell ref="A12:H12"/>
    <mergeCell ref="A18:H18"/>
    <mergeCell ref="A9:H9"/>
    <mergeCell ref="C6:D6"/>
    <mergeCell ref="A15:H15"/>
  </mergeCells>
  <hyperlinks>
    <hyperlink ref="C5" location="'Your Profile'!A1" display="Your Profile" xr:uid="{00000000-0004-0000-0000-000000000000}"/>
    <hyperlink ref="E5" location="'Your Five Opportunities'!A1" display="Your Five Opportunities" xr:uid="{00000000-0004-0000-0000-000001000000}"/>
    <hyperlink ref="G5" location="'Strategy Library'!A1" display="Strategy Library" xr:uid="{00000000-0004-0000-0000-000002000000}"/>
    <hyperlink ref="A6" location="'How These Numbers Work'!A1" display="How These Numbers Work" xr:uid="{00000000-0004-0000-0000-000003000000}"/>
    <hyperlink ref="C6" location="'Sources &amp; Notes'!A1" display="Sources &amp; Notes" xr:uid="{00000000-0004-0000-0000-000004000000}"/>
    <hyperlink ref="E6" location="'Help &amp; Disclosures'!A1" display="Help &amp; Disclosures" xr:uid="{00000000-0004-0000-0000-000005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C172D"/>
  </sheetPr>
  <dimension ref="A1:H18"/>
  <sheetViews>
    <sheetView showGridLines="0" workbookViewId="0">
      <pane ySplit="8" topLeftCell="A9" activePane="bottomLeft" state="frozen"/>
      <selection pane="bottomLeft" activeCell="A18" sqref="A18:H18"/>
    </sheetView>
  </sheetViews>
  <sheetFormatPr defaultRowHeight="15" x14ac:dyDescent="0.25"/>
  <cols>
    <col min="1" max="1" width="30" customWidth="1"/>
    <col min="2" max="3" width="24" customWidth="1"/>
    <col min="4" max="4" width="18" customWidth="1"/>
    <col min="5" max="8" width="14" customWidth="1"/>
  </cols>
  <sheetData>
    <row r="1" spans="1:8" ht="25.5" x14ac:dyDescent="0.35">
      <c r="A1" s="1" t="s">
        <v>4</v>
      </c>
    </row>
    <row r="2" spans="1:8" ht="30" customHeight="1" x14ac:dyDescent="0.25">
      <c r="A2" s="27" t="s">
        <v>28</v>
      </c>
      <c r="B2" s="18"/>
      <c r="C2" s="18"/>
      <c r="D2" s="18"/>
      <c r="E2" s="18"/>
      <c r="F2" s="18"/>
      <c r="G2" s="18"/>
      <c r="H2" s="18"/>
    </row>
    <row r="3" spans="1:8" ht="16.899999999999999" customHeight="1" x14ac:dyDescent="0.25">
      <c r="A3" s="25" t="s">
        <v>2</v>
      </c>
      <c r="B3" s="26"/>
      <c r="C3" s="26"/>
      <c r="D3" s="26"/>
      <c r="E3" s="26"/>
      <c r="F3" s="26"/>
      <c r="G3" s="26"/>
      <c r="H3" s="26"/>
    </row>
    <row r="5" spans="1:8" ht="18" customHeight="1" x14ac:dyDescent="0.25">
      <c r="A5" s="23" t="s">
        <v>3</v>
      </c>
      <c r="B5" s="18"/>
      <c r="C5" s="28" t="s">
        <v>4</v>
      </c>
      <c r="D5" s="18"/>
      <c r="E5" s="23" t="s">
        <v>5</v>
      </c>
      <c r="F5" s="18"/>
      <c r="G5" s="23" t="s">
        <v>6</v>
      </c>
      <c r="H5" s="18"/>
    </row>
    <row r="6" spans="1:8" ht="18" customHeight="1" x14ac:dyDescent="0.25">
      <c r="A6" s="23" t="s">
        <v>7</v>
      </c>
      <c r="B6" s="18"/>
      <c r="C6" s="23" t="s">
        <v>8</v>
      </c>
      <c r="D6" s="18"/>
      <c r="E6" s="23" t="s">
        <v>9</v>
      </c>
      <c r="F6" s="18"/>
    </row>
    <row r="8" spans="1:8" ht="48.6" customHeight="1" x14ac:dyDescent="0.25">
      <c r="A8" s="19" t="s">
        <v>29</v>
      </c>
      <c r="B8" s="20"/>
      <c r="C8" s="20"/>
      <c r="D8" s="20"/>
      <c r="E8" s="20"/>
      <c r="F8" s="20"/>
      <c r="G8" s="20"/>
      <c r="H8" s="21"/>
    </row>
    <row r="10" spans="1:8" ht="30" customHeight="1" x14ac:dyDescent="0.25">
      <c r="A10" s="29" t="s">
        <v>30</v>
      </c>
      <c r="B10" s="18"/>
      <c r="C10" s="18"/>
      <c r="D10" s="30" t="s">
        <v>455</v>
      </c>
      <c r="E10" s="31"/>
      <c r="F10" s="32"/>
    </row>
    <row r="11" spans="1:8" ht="30" customHeight="1" x14ac:dyDescent="0.25">
      <c r="A11" s="29" t="s">
        <v>31</v>
      </c>
      <c r="B11" s="18"/>
      <c r="C11" s="18"/>
      <c r="D11" s="30" t="s">
        <v>456</v>
      </c>
      <c r="E11" s="31"/>
      <c r="F11" s="32"/>
    </row>
    <row r="12" spans="1:8" ht="30" customHeight="1" x14ac:dyDescent="0.25">
      <c r="A12" s="29" t="s">
        <v>32</v>
      </c>
      <c r="B12" s="18"/>
      <c r="C12" s="18"/>
      <c r="D12" s="30" t="s">
        <v>454</v>
      </c>
      <c r="E12" s="31"/>
      <c r="F12" s="32"/>
    </row>
    <row r="14" spans="1:8" ht="22.15" customHeight="1" x14ac:dyDescent="0.25">
      <c r="A14" s="24" t="s">
        <v>33</v>
      </c>
      <c r="B14" s="18"/>
      <c r="C14" s="18"/>
      <c r="D14" s="18"/>
      <c r="E14" s="18"/>
      <c r="F14" s="18"/>
      <c r="G14" s="18"/>
      <c r="H14" s="18"/>
    </row>
    <row r="15" spans="1:8" ht="77.650000000000006" customHeight="1" x14ac:dyDescent="0.25">
      <c r="A15" s="17" t="s">
        <v>34</v>
      </c>
      <c r="B15" s="18"/>
      <c r="C15" s="18"/>
      <c r="D15" s="18"/>
      <c r="E15" s="18"/>
      <c r="F15" s="18"/>
      <c r="G15" s="18"/>
      <c r="H15" s="18"/>
    </row>
    <row r="16" spans="1:8" ht="26.1" customHeight="1" x14ac:dyDescent="0.25">
      <c r="A16" s="34" t="s">
        <v>35</v>
      </c>
      <c r="B16" s="18"/>
      <c r="C16" s="18"/>
      <c r="D16" s="2">
        <v>0.35</v>
      </c>
    </row>
    <row r="18" spans="1:8" ht="30" customHeight="1" x14ac:dyDescent="0.25">
      <c r="A18" s="33" t="s">
        <v>36</v>
      </c>
      <c r="B18" s="18"/>
      <c r="C18" s="18"/>
      <c r="D18" s="18"/>
      <c r="E18" s="18"/>
      <c r="F18" s="18"/>
      <c r="G18" s="18"/>
      <c r="H18" s="18"/>
    </row>
  </sheetData>
  <sheetProtection sheet="1"/>
  <mergeCells count="20">
    <mergeCell ref="A3:H3"/>
    <mergeCell ref="E6:F6"/>
    <mergeCell ref="A2:H2"/>
    <mergeCell ref="A5:B5"/>
    <mergeCell ref="G5:H5"/>
    <mergeCell ref="C6:D6"/>
    <mergeCell ref="C5:D5"/>
    <mergeCell ref="E5:F5"/>
    <mergeCell ref="A12:C12"/>
    <mergeCell ref="A6:B6"/>
    <mergeCell ref="D12:F12"/>
    <mergeCell ref="A10:C10"/>
    <mergeCell ref="A18:H18"/>
    <mergeCell ref="A14:H14"/>
    <mergeCell ref="A8:H8"/>
    <mergeCell ref="D10:F10"/>
    <mergeCell ref="A11:C11"/>
    <mergeCell ref="A16:C16"/>
    <mergeCell ref="D11:F11"/>
    <mergeCell ref="A15:H15"/>
  </mergeCells>
  <hyperlinks>
    <hyperlink ref="A5" location="'Start Here'!A1" display="Start Here" xr:uid="{00000000-0004-0000-0100-000000000000}"/>
    <hyperlink ref="E5" location="'Your Five Opportunities'!A1" display="Your Five Opportunities" xr:uid="{00000000-0004-0000-0100-000001000000}"/>
    <hyperlink ref="G5" location="'Strategy Library'!A1" display="Strategy Library" xr:uid="{00000000-0004-0000-0100-000002000000}"/>
    <hyperlink ref="A6" location="'How These Numbers Work'!A1" display="How These Numbers Work" xr:uid="{00000000-0004-0000-0100-000003000000}"/>
    <hyperlink ref="C6" location="'Sources &amp; Notes'!A1" display="Sources &amp; Notes" xr:uid="{00000000-0004-0000-0100-000004000000}"/>
    <hyperlink ref="E6" location="'Help &amp; Disclosures'!A1" display="Help &amp; Disclosures" xr:uid="{00000000-0004-0000-0100-000005000000}"/>
  </hyperlinks>
  <pageMargins left="0.75" right="0.75" top="1" bottom="1" header="0.5" footer="0.5"/>
  <extLst>
    <ext xmlns:x14="http://schemas.microsoft.com/office/spreadsheetml/2009/9/main" uri="{CCE6A557-97BC-4b89-ADB6-D9C93CAAB3DF}">
      <x14:dataValidations xmlns:xm="http://schemas.microsoft.com/office/excel/2006/main" count="4">
        <x14:dataValidation type="list" allowBlank="1" showErrorMessage="1" errorTitle="Choose from the list" error="Please choose one of the listed answers." xr:uid="{00000000-0002-0000-0100-000000000000}">
          <x14:formula1>
            <xm:f>Lists!$A$3:$A$7</xm:f>
          </x14:formula1>
          <xm:sqref>D10</xm:sqref>
        </x14:dataValidation>
        <x14:dataValidation type="list" allowBlank="1" showErrorMessage="1" errorTitle="Choose from the list" error="Please choose one of the listed answers." xr:uid="{00000000-0002-0000-0100-000001000000}">
          <x14:formula1>
            <xm:f>Lists!$B$3:$B$6</xm:f>
          </x14:formula1>
          <xm:sqref>D11</xm:sqref>
        </x14:dataValidation>
        <x14:dataValidation type="list" allowBlank="1" showErrorMessage="1" errorTitle="Choose from the list" error="Please choose one of the listed answers." xr:uid="{00000000-0002-0000-0100-000002000000}">
          <x14:formula1>
            <xm:f>Lists!$C$3:$C$6</xm:f>
          </x14:formula1>
          <xm:sqref>D12</xm:sqref>
        </x14:dataValidation>
        <x14:dataValidation type="list" showErrorMessage="1" errorTitle="Choose a rate" error="Choose one of the listed rates." xr:uid="{00000000-0002-0000-0100-000003000000}">
          <x14:formula1>
            <xm:f>Lists!$D$3:$D$9</xm:f>
          </x14:formula1>
          <xm:sqref>D16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C172D"/>
  </sheetPr>
  <dimension ref="A1:H23"/>
  <sheetViews>
    <sheetView showGridLines="0" tabSelected="1" workbookViewId="0">
      <pane ySplit="8" topLeftCell="A9" activePane="bottomLeft" state="frozen"/>
      <selection pane="bottomLeft" activeCell="O48" sqref="O48"/>
    </sheetView>
  </sheetViews>
  <sheetFormatPr defaultRowHeight="15" x14ac:dyDescent="0.25"/>
  <cols>
    <col min="1" max="1" width="6" customWidth="1"/>
    <col min="2" max="2" width="56" customWidth="1"/>
    <col min="3" max="3" width="30" customWidth="1"/>
    <col min="4" max="4" width="22" customWidth="1"/>
    <col min="5" max="8" width="14" customWidth="1"/>
  </cols>
  <sheetData>
    <row r="1" spans="1:8" ht="25.5" x14ac:dyDescent="0.35">
      <c r="A1" s="1" t="s">
        <v>5</v>
      </c>
    </row>
    <row r="2" spans="1:8" ht="30" customHeight="1" x14ac:dyDescent="0.25">
      <c r="A2" s="27" t="s">
        <v>37</v>
      </c>
      <c r="B2" s="18"/>
      <c r="C2" s="18"/>
      <c r="D2" s="18"/>
      <c r="E2" s="18"/>
      <c r="F2" s="18"/>
      <c r="G2" s="18"/>
      <c r="H2" s="18"/>
    </row>
    <row r="3" spans="1:8" ht="16.899999999999999" customHeight="1" x14ac:dyDescent="0.25">
      <c r="A3" s="25" t="s">
        <v>2</v>
      </c>
      <c r="B3" s="26"/>
      <c r="C3" s="26"/>
      <c r="D3" s="26"/>
      <c r="E3" s="26"/>
      <c r="F3" s="26"/>
      <c r="G3" s="26"/>
      <c r="H3" s="26"/>
    </row>
    <row r="5" spans="1:8" ht="18" customHeight="1" x14ac:dyDescent="0.25">
      <c r="A5" s="23" t="s">
        <v>3</v>
      </c>
      <c r="B5" s="18"/>
      <c r="C5" s="23" t="s">
        <v>4</v>
      </c>
      <c r="D5" s="18"/>
      <c r="E5" s="28" t="s">
        <v>5</v>
      </c>
      <c r="F5" s="18"/>
      <c r="G5" s="23" t="s">
        <v>6</v>
      </c>
      <c r="H5" s="18"/>
    </row>
    <row r="6" spans="1:8" ht="18" customHeight="1" x14ac:dyDescent="0.25">
      <c r="A6" s="23" t="s">
        <v>7</v>
      </c>
      <c r="B6" s="18"/>
      <c r="C6" s="23" t="s">
        <v>8</v>
      </c>
      <c r="D6" s="18"/>
      <c r="E6" s="23" t="s">
        <v>9</v>
      </c>
      <c r="F6" s="18"/>
    </row>
    <row r="8" spans="1:8" ht="39.950000000000003" customHeight="1" x14ac:dyDescent="0.25">
      <c r="A8" s="19" t="s">
        <v>38</v>
      </c>
      <c r="B8" s="20"/>
      <c r="C8" s="20"/>
      <c r="D8" s="20"/>
      <c r="E8" s="20"/>
      <c r="F8" s="20"/>
      <c r="G8" s="20"/>
      <c r="H8" s="21"/>
    </row>
    <row r="10" spans="1:8" ht="21.95" customHeight="1" x14ac:dyDescent="0.25">
      <c r="A10" s="36" t="str">
        <f>IF(Calculations!$B$6=0,"Answer the three questions on Your Profile and your five will appear here.","Ordered from your three answers.")</f>
        <v>Ordered from your three answers.</v>
      </c>
      <c r="B10" s="18"/>
      <c r="C10" s="18"/>
      <c r="D10" s="18"/>
      <c r="E10" s="18"/>
      <c r="F10" s="18"/>
      <c r="G10" s="18"/>
      <c r="H10" s="18"/>
    </row>
    <row r="12" spans="1:8" x14ac:dyDescent="0.25">
      <c r="A12" s="3" t="s">
        <v>39</v>
      </c>
      <c r="B12" s="3" t="s">
        <v>40</v>
      </c>
      <c r="C12" s="3" t="s">
        <v>41</v>
      </c>
      <c r="D12" s="3" t="s">
        <v>42</v>
      </c>
    </row>
    <row r="13" spans="1:8" ht="30" customHeight="1" x14ac:dyDescent="0.25">
      <c r="A13" s="4">
        <v>1</v>
      </c>
      <c r="B13" s="5" t="str">
        <f>IF(OR(Calculations!$B$6=0,Calculations!$B$72=0),"",INDEX({"S6 - Equipment purchases and first-year depreciation","S10 - Health savings account","S8 - Qualified business income deduction (section 199A)","S2 - S-corporation election and reasonable compensation","S12 - Accountable plan reimbursements","S13 - Renting your home to your practice","S7 - Employing your children","S3 - Cost segregation study","S5 - Renting your building to your practice","S11 - Section 105 medical reimbursement plan","S14 - Retirement plan start-up tax credits","S1 - Cash balance and defined benefit plans","S4 - Solo 401(k) with employer contribution","S9 - Heavy vehicle first-year deduction"},Calculations!$B$72))</f>
        <v>S12 - Accountable plan reimbursements</v>
      </c>
      <c r="C13" s="6" t="str">
        <f>IF(OR(Calculations!$B$6=0,Calculations!$B$72=0),"",INDEX({"Income-tax deduction","Income-tax deduction","Income-tax deduction","Payroll-tax effect","Income-tax deduction","Income-tax deduction","Income-tax deduction","Income-tax deduction","Usually no tax saving","Income-tax deduction","Tax credit","No dollar illustration","Income-tax deduction","Income-tax deduction"},Calculations!$B$72))</f>
        <v>Income-tax deduction</v>
      </c>
      <c r="D13" s="7" t="str">
        <f>IF(OR(Calculations!$B$6=0,Calculations!$B$72=0),"",HYPERLINK("#'Strategy Library'!A"&amp;INDEX({18,31,43,61,75,89,102,119,132,144,159,175,187,202},Calculations!$B$72),"Open this strategy"))</f>
        <v>Open this strategy</v>
      </c>
    </row>
    <row r="14" spans="1:8" ht="30" customHeight="1" x14ac:dyDescent="0.25">
      <c r="A14" s="4">
        <v>2</v>
      </c>
      <c r="B14" s="5" t="str">
        <f>IF(OR(Calculations!$B$6=0,Calculations!$B$73=0),"",INDEX({"S6 - Equipment purchases and first-year depreciation","S10 - Health savings account","S8 - Qualified business income deduction (section 199A)","S2 - S-corporation election and reasonable compensation","S12 - Accountable plan reimbursements","S13 - Renting your home to your practice","S7 - Employing your children","S3 - Cost segregation study","S5 - Renting your building to your practice","S11 - Section 105 medical reimbursement plan","S14 - Retirement plan start-up tax credits","S1 - Cash balance and defined benefit plans","S4 - Solo 401(k) with employer contribution","S9 - Heavy vehicle first-year deduction"},Calculations!$B$73))</f>
        <v>S13 - Renting your home to your practice</v>
      </c>
      <c r="C14" s="6" t="str">
        <f>IF(OR(Calculations!$B$6=0,Calculations!$B$73=0),"",INDEX({"Income-tax deduction","Income-tax deduction","Income-tax deduction","Payroll-tax effect","Income-tax deduction","Income-tax deduction","Income-tax deduction","Income-tax deduction","Usually no tax saving","Income-tax deduction","Tax credit","No dollar illustration","Income-tax deduction","Income-tax deduction"},Calculations!$B$73))</f>
        <v>Income-tax deduction</v>
      </c>
      <c r="D14" s="7" t="str">
        <f>IF(OR(Calculations!$B$6=0,Calculations!$B$73=0),"",HYPERLINK("#'Strategy Library'!A"&amp;INDEX({18,31,43,61,75,89,102,119,132,144,159,175,187,202},Calculations!$B$73),"Open this strategy"))</f>
        <v>Open this strategy</v>
      </c>
    </row>
    <row r="15" spans="1:8" ht="30" customHeight="1" x14ac:dyDescent="0.25">
      <c r="A15" s="4">
        <v>3</v>
      </c>
      <c r="B15" s="5" t="str">
        <f>IF(OR(Calculations!$B$6=0,Calculations!$B$74=0),"",INDEX({"S6 - Equipment purchases and first-year depreciation","S10 - Health savings account","S8 - Qualified business income deduction (section 199A)","S2 - S-corporation election and reasonable compensation","S12 - Accountable plan reimbursements","S13 - Renting your home to your practice","S7 - Employing your children","S3 - Cost segregation study","S5 - Renting your building to your practice","S11 - Section 105 medical reimbursement plan","S14 - Retirement plan start-up tax credits","S1 - Cash balance and defined benefit plans","S4 - Solo 401(k) with employer contribution","S9 - Heavy vehicle first-year deduction"},Calculations!$B$74))</f>
        <v>S14 - Retirement plan start-up tax credits</v>
      </c>
      <c r="C15" s="6" t="str">
        <f>IF(OR(Calculations!$B$6=0,Calculations!$B$74=0),"",INDEX({"Income-tax deduction","Income-tax deduction","Income-tax deduction","Payroll-tax effect","Income-tax deduction","Income-tax deduction","Income-tax deduction","Income-tax deduction","Usually no tax saving","Income-tax deduction","Tax credit","No dollar illustration","Income-tax deduction","Income-tax deduction"},Calculations!$B$74))</f>
        <v>Tax credit</v>
      </c>
      <c r="D15" s="7" t="str">
        <f>IF(OR(Calculations!$B$6=0,Calculations!$B$74=0),"",HYPERLINK("#'Strategy Library'!A"&amp;INDEX({18,31,43,61,75,89,102,119,132,144,159,175,187,202},Calculations!$B$74),"Open this strategy"))</f>
        <v>Open this strategy</v>
      </c>
    </row>
    <row r="16" spans="1:8" ht="30" customHeight="1" x14ac:dyDescent="0.25">
      <c r="A16" s="4">
        <v>4</v>
      </c>
      <c r="B16" s="5" t="str">
        <f>IF(OR(Calculations!$B$6=0,Calculations!$B$75=0),"",INDEX({"S6 - Equipment purchases and first-year depreciation","S10 - Health savings account","S8 - Qualified business income deduction (section 199A)","S2 - S-corporation election and reasonable compensation","S12 - Accountable plan reimbursements","S13 - Renting your home to your practice","S7 - Employing your children","S3 - Cost segregation study","S5 - Renting your building to your practice","S11 - Section 105 medical reimbursement plan","S14 - Retirement plan start-up tax credits","S1 - Cash balance and defined benefit plans","S4 - Solo 401(k) with employer contribution","S9 - Heavy vehicle first-year deduction"},Calculations!$B$75))</f>
        <v>S1 - Cash balance and defined benefit plans</v>
      </c>
      <c r="C16" s="6" t="str">
        <f>IF(OR(Calculations!$B$6=0,Calculations!$B$75=0),"",INDEX({"Income-tax deduction","Income-tax deduction","Income-tax deduction","Payroll-tax effect","Income-tax deduction","Income-tax deduction","Income-tax deduction","Income-tax deduction","Usually no tax saving","Income-tax deduction","Tax credit","No dollar illustration","Income-tax deduction","Income-tax deduction"},Calculations!$B$75))</f>
        <v>No dollar illustration</v>
      </c>
      <c r="D16" s="7" t="str">
        <f>IF(OR(Calculations!$B$6=0,Calculations!$B$75=0),"",HYPERLINK("#'Strategy Library'!A"&amp;INDEX({18,31,43,61,75,89,102,119,132,144,159,175,187,202},Calculations!$B$75),"Open this strategy"))</f>
        <v>Open this strategy</v>
      </c>
    </row>
    <row r="17" spans="1:8" ht="30" customHeight="1" x14ac:dyDescent="0.25">
      <c r="A17" s="4">
        <v>5</v>
      </c>
      <c r="B17" s="5" t="str">
        <f>IF(OR(Calculations!$B$6=0,Calculations!$B$76=0),"",INDEX({"S6 - Equipment purchases and first-year depreciation","S10 - Health savings account","S8 - Qualified business income deduction (section 199A)","S2 - S-corporation election and reasonable compensation","S12 - Accountable plan reimbursements","S13 - Renting your home to your practice","S7 - Employing your children","S3 - Cost segregation study","S5 - Renting your building to your practice","S11 - Section 105 medical reimbursement plan","S14 - Retirement plan start-up tax credits","S1 - Cash balance and defined benefit plans","S4 - Solo 401(k) with employer contribution","S9 - Heavy vehicle first-year deduction"},Calculations!$B$76))</f>
        <v>S9 - Heavy vehicle first-year deduction</v>
      </c>
      <c r="C17" s="6" t="str">
        <f>IF(OR(Calculations!$B$6=0,Calculations!$B$76=0),"",INDEX({"Income-tax deduction","Income-tax deduction","Income-tax deduction","Payroll-tax effect","Income-tax deduction","Income-tax deduction","Income-tax deduction","Income-tax deduction","Usually no tax saving","Income-tax deduction","Tax credit","No dollar illustration","Income-tax deduction","Income-tax deduction"},Calculations!$B$76))</f>
        <v>Income-tax deduction</v>
      </c>
      <c r="D17" s="7" t="str">
        <f>IF(OR(Calculations!$B$6=0,Calculations!$B$76=0),"",HYPERLINK("#'Strategy Library'!A"&amp;INDEX({18,31,43,61,75,89,102,119,132,144,159,175,187,202},Calculations!$B$76),"Open this strategy"))</f>
        <v>Open this strategy</v>
      </c>
    </row>
    <row r="19" spans="1:8" ht="30" customHeight="1" x14ac:dyDescent="0.25">
      <c r="A19" s="33" t="s">
        <v>43</v>
      </c>
      <c r="B19" s="18"/>
      <c r="C19" s="18"/>
      <c r="D19" s="18"/>
      <c r="E19" s="18"/>
      <c r="F19" s="18"/>
      <c r="G19" s="18"/>
      <c r="H19" s="18"/>
    </row>
    <row r="21" spans="1:8" ht="22.15" customHeight="1" x14ac:dyDescent="0.25">
      <c r="A21" s="24" t="s">
        <v>44</v>
      </c>
      <c r="B21" s="18"/>
      <c r="C21" s="18"/>
      <c r="D21" s="18"/>
      <c r="E21" s="18"/>
      <c r="F21" s="18"/>
      <c r="G21" s="18"/>
      <c r="H21" s="18"/>
    </row>
    <row r="22" spans="1:8" ht="63" customHeight="1" x14ac:dyDescent="0.25">
      <c r="A22" s="37" t="s">
        <v>45</v>
      </c>
      <c r="B22" s="20"/>
      <c r="C22" s="20"/>
      <c r="D22" s="20"/>
      <c r="E22" s="20"/>
      <c r="F22" s="20"/>
      <c r="G22" s="20"/>
      <c r="H22" s="21"/>
    </row>
    <row r="23" spans="1:8" ht="21.95" customHeight="1" x14ac:dyDescent="0.25">
      <c r="A23" s="35" t="s">
        <v>46</v>
      </c>
      <c r="B23" s="20"/>
      <c r="C23" s="20"/>
      <c r="D23" s="21"/>
      <c r="E23" s="33" t="s">
        <v>47</v>
      </c>
      <c r="F23" s="18"/>
      <c r="G23" s="18"/>
      <c r="H23" s="18"/>
    </row>
  </sheetData>
  <sheetProtection sheet="1"/>
  <mergeCells count="16">
    <mergeCell ref="A2:H2"/>
    <mergeCell ref="C5:D5"/>
    <mergeCell ref="A5:B5"/>
    <mergeCell ref="G5:H5"/>
    <mergeCell ref="E5:F5"/>
    <mergeCell ref="A23:D23"/>
    <mergeCell ref="A3:H3"/>
    <mergeCell ref="E6:F6"/>
    <mergeCell ref="C6:D6"/>
    <mergeCell ref="A21:H21"/>
    <mergeCell ref="E23:H23"/>
    <mergeCell ref="A10:H10"/>
    <mergeCell ref="A19:H19"/>
    <mergeCell ref="A8:H8"/>
    <mergeCell ref="A6:B6"/>
    <mergeCell ref="A22:H22"/>
  </mergeCells>
  <hyperlinks>
    <hyperlink ref="A5" location="'Start Here'!A1" display="Start Here" xr:uid="{00000000-0004-0000-0200-000000000000}"/>
    <hyperlink ref="C5" location="'Your Profile'!A1" display="Your Profile" xr:uid="{00000000-0004-0000-0200-000001000000}"/>
    <hyperlink ref="G5" location="'Strategy Library'!A1" display="Strategy Library" xr:uid="{00000000-0004-0000-0200-000002000000}"/>
    <hyperlink ref="A6" location="'How These Numbers Work'!A1" display="How These Numbers Work" xr:uid="{00000000-0004-0000-0200-000003000000}"/>
    <hyperlink ref="C6" location="'Sources &amp; Notes'!A1" display="Sources &amp; Notes" xr:uid="{00000000-0004-0000-0200-000004000000}"/>
    <hyperlink ref="E6" location="'Help &amp; Disclosures'!A1" display="Help &amp; Disclosures" xr:uid="{00000000-0004-0000-0200-000005000000}"/>
    <hyperlink ref="A23" r:id="rId1" xr:uid="{00000000-0004-0000-0200-000006000000}"/>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C172D"/>
  </sheetPr>
  <dimension ref="A1:H218"/>
  <sheetViews>
    <sheetView showGridLines="0" workbookViewId="0">
      <pane ySplit="8" topLeftCell="A9" activePane="bottomLeft" state="frozen"/>
      <selection pane="bottomLeft" activeCell="R85" sqref="R85"/>
    </sheetView>
  </sheetViews>
  <sheetFormatPr defaultRowHeight="15" x14ac:dyDescent="0.25"/>
  <cols>
    <col min="1" max="1" width="21" customWidth="1"/>
    <col min="2" max="2" width="12" customWidth="1"/>
    <col min="3" max="3" width="26" customWidth="1"/>
    <col min="4" max="4" width="22" customWidth="1"/>
    <col min="5" max="5" width="18" customWidth="1"/>
    <col min="6" max="7" width="17" customWidth="1"/>
    <col min="8" max="8" width="14" customWidth="1"/>
  </cols>
  <sheetData>
    <row r="1" spans="1:8" ht="25.5" x14ac:dyDescent="0.35">
      <c r="A1" s="1" t="s">
        <v>6</v>
      </c>
    </row>
    <row r="2" spans="1:8" ht="30" customHeight="1" x14ac:dyDescent="0.25">
      <c r="A2" s="27" t="s">
        <v>48</v>
      </c>
      <c r="B2" s="18"/>
      <c r="C2" s="18"/>
      <c r="D2" s="18"/>
      <c r="E2" s="18"/>
      <c r="F2" s="18"/>
      <c r="G2" s="18"/>
      <c r="H2" s="18"/>
    </row>
    <row r="3" spans="1:8" ht="16.899999999999999" customHeight="1" x14ac:dyDescent="0.25">
      <c r="A3" s="25" t="s">
        <v>2</v>
      </c>
      <c r="B3" s="26"/>
      <c r="C3" s="26"/>
      <c r="D3" s="26"/>
      <c r="E3" s="26"/>
      <c r="F3" s="26"/>
      <c r="G3" s="26"/>
      <c r="H3" s="26"/>
    </row>
    <row r="5" spans="1:8" ht="18" customHeight="1" x14ac:dyDescent="0.25">
      <c r="A5" s="23" t="s">
        <v>3</v>
      </c>
      <c r="B5" s="18"/>
      <c r="C5" s="23" t="s">
        <v>4</v>
      </c>
      <c r="D5" s="18"/>
      <c r="E5" s="23" t="s">
        <v>5</v>
      </c>
      <c r="F5" s="18"/>
      <c r="G5" s="28" t="s">
        <v>6</v>
      </c>
      <c r="H5" s="18"/>
    </row>
    <row r="6" spans="1:8" ht="18" customHeight="1" x14ac:dyDescent="0.25">
      <c r="A6" s="23" t="s">
        <v>7</v>
      </c>
      <c r="B6" s="18"/>
      <c r="C6" s="23" t="s">
        <v>8</v>
      </c>
      <c r="D6" s="18"/>
      <c r="E6" s="23" t="s">
        <v>9</v>
      </c>
      <c r="F6" s="18"/>
    </row>
    <row r="8" spans="1:8" ht="33.950000000000003" customHeight="1" x14ac:dyDescent="0.25">
      <c r="A8" s="44" t="s">
        <v>49</v>
      </c>
      <c r="B8" s="18"/>
      <c r="C8" s="18"/>
      <c r="D8" s="18"/>
      <c r="E8" s="18"/>
      <c r="F8" s="18"/>
      <c r="G8" s="18"/>
      <c r="H8" s="18"/>
    </row>
    <row r="9" spans="1:8" ht="33.950000000000003" customHeight="1" x14ac:dyDescent="0.25">
      <c r="A9" s="45" t="s">
        <v>50</v>
      </c>
      <c r="B9" s="20"/>
      <c r="C9" s="20"/>
      <c r="D9" s="20"/>
      <c r="E9" s="20"/>
      <c r="F9" s="20"/>
      <c r="G9" s="20"/>
      <c r="H9" s="21"/>
    </row>
    <row r="11" spans="1:8" ht="22.15" customHeight="1" x14ac:dyDescent="0.25">
      <c r="A11" s="24" t="s">
        <v>44</v>
      </c>
      <c r="B11" s="18"/>
      <c r="C11" s="18"/>
      <c r="D11" s="18"/>
      <c r="E11" s="18"/>
      <c r="F11" s="18"/>
      <c r="G11" s="18"/>
      <c r="H11" s="18"/>
    </row>
    <row r="12" spans="1:8" ht="48.6" customHeight="1" x14ac:dyDescent="0.25">
      <c r="A12" s="37" t="s">
        <v>51</v>
      </c>
      <c r="B12" s="20"/>
      <c r="C12" s="20"/>
      <c r="D12" s="20"/>
      <c r="E12" s="20"/>
      <c r="F12" s="20"/>
      <c r="G12" s="20"/>
      <c r="H12" s="21"/>
    </row>
    <row r="13" spans="1:8" ht="21.95" customHeight="1" x14ac:dyDescent="0.25">
      <c r="A13" s="35" t="s">
        <v>46</v>
      </c>
      <c r="B13" s="20"/>
      <c r="C13" s="20"/>
      <c r="D13" s="21"/>
      <c r="E13" s="33" t="s">
        <v>47</v>
      </c>
      <c r="F13" s="18"/>
      <c r="G13" s="18"/>
      <c r="H13" s="18"/>
    </row>
    <row r="15" spans="1:8" ht="22.15" customHeight="1" x14ac:dyDescent="0.25">
      <c r="A15" s="8" t="s">
        <v>52</v>
      </c>
      <c r="B15" s="9"/>
      <c r="C15" s="9"/>
      <c r="D15" s="9"/>
      <c r="E15" s="9"/>
      <c r="F15" s="9"/>
      <c r="G15" s="9"/>
      <c r="H15" s="9"/>
    </row>
    <row r="16" spans="1:8" ht="18" customHeight="1" x14ac:dyDescent="0.25">
      <c r="A16" s="33" t="s">
        <v>53</v>
      </c>
      <c r="B16" s="18"/>
      <c r="C16" s="18"/>
      <c r="D16" s="18"/>
      <c r="E16" s="18"/>
      <c r="F16" s="18"/>
      <c r="G16" s="18"/>
      <c r="H16" s="18"/>
    </row>
    <row r="18" spans="1:8" ht="24" customHeight="1" x14ac:dyDescent="0.25">
      <c r="A18" s="39" t="s">
        <v>54</v>
      </c>
      <c r="B18" s="18"/>
      <c r="C18" s="18"/>
      <c r="D18" s="18"/>
      <c r="E18" s="18"/>
      <c r="F18" s="18"/>
      <c r="G18" s="18"/>
      <c r="H18" s="18"/>
    </row>
    <row r="19" spans="1:8" ht="19.5" customHeight="1" x14ac:dyDescent="0.25">
      <c r="A19" s="36" t="s">
        <v>55</v>
      </c>
      <c r="B19" s="18"/>
      <c r="C19" s="17" t="s">
        <v>56</v>
      </c>
      <c r="D19" s="18"/>
      <c r="E19" s="18"/>
      <c r="F19" s="18"/>
      <c r="G19" s="18"/>
      <c r="H19" s="18"/>
    </row>
    <row r="20" spans="1:8" ht="48.6" customHeight="1" x14ac:dyDescent="0.25">
      <c r="A20" s="36" t="s">
        <v>57</v>
      </c>
      <c r="B20" s="18"/>
      <c r="C20" s="17" t="s">
        <v>58</v>
      </c>
      <c r="D20" s="18"/>
      <c r="E20" s="18"/>
      <c r="F20" s="18"/>
      <c r="G20" s="18"/>
      <c r="H20" s="18"/>
    </row>
    <row r="21" spans="1:8" ht="48.6" customHeight="1" x14ac:dyDescent="0.25">
      <c r="A21" s="36" t="s">
        <v>59</v>
      </c>
      <c r="B21" s="18"/>
      <c r="C21" s="17" t="s">
        <v>60</v>
      </c>
      <c r="D21" s="18"/>
      <c r="E21" s="18"/>
      <c r="F21" s="18"/>
      <c r="G21" s="18"/>
      <c r="H21" s="18"/>
    </row>
    <row r="22" spans="1:8" ht="20.100000000000001" customHeight="1" x14ac:dyDescent="0.25">
      <c r="C22" s="36" t="s">
        <v>61</v>
      </c>
      <c r="D22" s="18"/>
      <c r="E22" s="18"/>
      <c r="F22" s="18"/>
      <c r="G22" s="40">
        <f>Calculations!$B$10</f>
        <v>42000</v>
      </c>
      <c r="H22" s="21"/>
    </row>
    <row r="23" spans="1:8" ht="20.100000000000001" customHeight="1" x14ac:dyDescent="0.25">
      <c r="C23" s="17" t="s">
        <v>62</v>
      </c>
      <c r="D23" s="18"/>
      <c r="E23" s="18"/>
      <c r="F23" s="18"/>
      <c r="G23" s="38">
        <f>Calculations!$B$11</f>
        <v>33600</v>
      </c>
      <c r="H23" s="21"/>
    </row>
    <row r="24" spans="1:8" ht="19.5" customHeight="1" x14ac:dyDescent="0.25">
      <c r="C24" s="41" t="s">
        <v>63</v>
      </c>
      <c r="D24" s="20"/>
      <c r="E24" s="20"/>
      <c r="F24" s="20"/>
      <c r="G24" s="20"/>
      <c r="H24" s="21"/>
    </row>
    <row r="25" spans="1:8" ht="48.6" customHeight="1" x14ac:dyDescent="0.25">
      <c r="A25" s="36" t="s">
        <v>64</v>
      </c>
      <c r="B25" s="18"/>
      <c r="C25" s="17" t="s">
        <v>65</v>
      </c>
      <c r="D25" s="18"/>
      <c r="E25" s="18"/>
      <c r="F25" s="18"/>
      <c r="G25" s="18"/>
      <c r="H25" s="18"/>
    </row>
    <row r="26" spans="1:8" ht="33.950000000000003" customHeight="1" x14ac:dyDescent="0.25">
      <c r="A26" s="36" t="s">
        <v>66</v>
      </c>
      <c r="B26" s="18"/>
      <c r="C26" s="17" t="s">
        <v>67</v>
      </c>
      <c r="D26" s="18"/>
      <c r="E26" s="18"/>
      <c r="F26" s="18"/>
      <c r="G26" s="18"/>
      <c r="H26" s="18"/>
    </row>
    <row r="27" spans="1:8" ht="48.6" customHeight="1" x14ac:dyDescent="0.25">
      <c r="A27" s="36" t="s">
        <v>68</v>
      </c>
      <c r="B27" s="18"/>
      <c r="C27" s="17" t="s">
        <v>69</v>
      </c>
      <c r="D27" s="18"/>
      <c r="E27" s="18"/>
      <c r="F27" s="18"/>
      <c r="G27" s="18"/>
      <c r="H27" s="18"/>
    </row>
    <row r="28" spans="1:8" ht="8.1" customHeight="1" x14ac:dyDescent="0.25"/>
    <row r="29" spans="1:8" ht="3.95" customHeight="1" x14ac:dyDescent="0.25">
      <c r="A29" s="9"/>
      <c r="B29" s="9"/>
      <c r="C29" s="9"/>
      <c r="D29" s="9"/>
      <c r="E29" s="9"/>
      <c r="F29" s="9"/>
      <c r="G29" s="9"/>
      <c r="H29" s="9"/>
    </row>
    <row r="31" spans="1:8" ht="24" customHeight="1" x14ac:dyDescent="0.25">
      <c r="A31" s="39" t="s">
        <v>70</v>
      </c>
      <c r="B31" s="18"/>
      <c r="C31" s="18"/>
      <c r="D31" s="18"/>
      <c r="E31" s="18"/>
      <c r="F31" s="18"/>
      <c r="G31" s="18"/>
      <c r="H31" s="18"/>
    </row>
    <row r="32" spans="1:8" ht="19.5" customHeight="1" x14ac:dyDescent="0.25">
      <c r="A32" s="36" t="s">
        <v>55</v>
      </c>
      <c r="B32" s="18"/>
      <c r="C32" s="17" t="s">
        <v>71</v>
      </c>
      <c r="D32" s="18"/>
      <c r="E32" s="18"/>
      <c r="F32" s="18"/>
      <c r="G32" s="18"/>
      <c r="H32" s="18"/>
    </row>
    <row r="33" spans="1:8" ht="48.6" customHeight="1" x14ac:dyDescent="0.25">
      <c r="A33" s="36" t="s">
        <v>57</v>
      </c>
      <c r="B33" s="18"/>
      <c r="C33" s="17" t="s">
        <v>72</v>
      </c>
      <c r="D33" s="18"/>
      <c r="E33" s="18"/>
      <c r="F33" s="18"/>
      <c r="G33" s="18"/>
      <c r="H33" s="18"/>
    </row>
    <row r="34" spans="1:8" ht="33.950000000000003" customHeight="1" x14ac:dyDescent="0.25">
      <c r="A34" s="36" t="s">
        <v>59</v>
      </c>
      <c r="B34" s="18"/>
      <c r="C34" s="17" t="s">
        <v>73</v>
      </c>
      <c r="D34" s="18"/>
      <c r="E34" s="18"/>
      <c r="F34" s="18"/>
      <c r="G34" s="18"/>
      <c r="H34" s="18"/>
    </row>
    <row r="35" spans="1:8" ht="20.100000000000001" customHeight="1" x14ac:dyDescent="0.25">
      <c r="C35" s="36" t="s">
        <v>61</v>
      </c>
      <c r="D35" s="18"/>
      <c r="E35" s="18"/>
      <c r="F35" s="18"/>
      <c r="G35" s="40">
        <f>Calculations!$B$14</f>
        <v>3063</v>
      </c>
      <c r="H35" s="21"/>
    </row>
    <row r="36" spans="1:8" ht="40.700000000000003" customHeight="1" x14ac:dyDescent="0.25">
      <c r="C36" s="33" t="s">
        <v>74</v>
      </c>
      <c r="D36" s="18"/>
      <c r="E36" s="18"/>
      <c r="F36" s="18"/>
      <c r="G36" s="18"/>
      <c r="H36" s="18"/>
    </row>
    <row r="37" spans="1:8" ht="48.6" customHeight="1" x14ac:dyDescent="0.25">
      <c r="A37" s="36" t="s">
        <v>64</v>
      </c>
      <c r="B37" s="18"/>
      <c r="C37" s="17" t="s">
        <v>75</v>
      </c>
      <c r="D37" s="18"/>
      <c r="E37" s="18"/>
      <c r="F37" s="18"/>
      <c r="G37" s="18"/>
      <c r="H37" s="18"/>
    </row>
    <row r="38" spans="1:8" ht="33.950000000000003" customHeight="1" x14ac:dyDescent="0.25">
      <c r="A38" s="36" t="s">
        <v>66</v>
      </c>
      <c r="B38" s="18"/>
      <c r="C38" s="17" t="s">
        <v>76</v>
      </c>
      <c r="D38" s="18"/>
      <c r="E38" s="18"/>
      <c r="F38" s="18"/>
      <c r="G38" s="18"/>
      <c r="H38" s="18"/>
    </row>
    <row r="39" spans="1:8" ht="48.6" customHeight="1" x14ac:dyDescent="0.25">
      <c r="A39" s="36" t="s">
        <v>68</v>
      </c>
      <c r="B39" s="18"/>
      <c r="C39" s="17" t="s">
        <v>77</v>
      </c>
      <c r="D39" s="18"/>
      <c r="E39" s="18"/>
      <c r="F39" s="18"/>
      <c r="G39" s="18"/>
      <c r="H39" s="18"/>
    </row>
    <row r="40" spans="1:8" ht="8.1" customHeight="1" x14ac:dyDescent="0.25"/>
    <row r="41" spans="1:8" ht="3.95" customHeight="1" x14ac:dyDescent="0.25">
      <c r="A41" s="9"/>
      <c r="B41" s="9"/>
      <c r="C41" s="9"/>
      <c r="D41" s="9"/>
      <c r="E41" s="9"/>
      <c r="F41" s="9"/>
      <c r="G41" s="9"/>
      <c r="H41" s="9"/>
    </row>
    <row r="43" spans="1:8" ht="24" customHeight="1" x14ac:dyDescent="0.25">
      <c r="A43" s="39" t="s">
        <v>78</v>
      </c>
      <c r="B43" s="18"/>
      <c r="C43" s="18"/>
      <c r="D43" s="18"/>
      <c r="E43" s="18"/>
      <c r="F43" s="18"/>
      <c r="G43" s="18"/>
      <c r="H43" s="18"/>
    </row>
    <row r="44" spans="1:8" ht="19.5" customHeight="1" x14ac:dyDescent="0.25">
      <c r="A44" s="36" t="s">
        <v>55</v>
      </c>
      <c r="B44" s="18"/>
      <c r="C44" s="17" t="s">
        <v>79</v>
      </c>
      <c r="D44" s="18"/>
      <c r="E44" s="18"/>
      <c r="F44" s="18"/>
      <c r="G44" s="18"/>
      <c r="H44" s="18"/>
    </row>
    <row r="45" spans="1:8" ht="48.6" customHeight="1" x14ac:dyDescent="0.25">
      <c r="A45" s="36" t="s">
        <v>57</v>
      </c>
      <c r="B45" s="18"/>
      <c r="C45" s="17" t="s">
        <v>80</v>
      </c>
      <c r="D45" s="18"/>
      <c r="E45" s="18"/>
      <c r="F45" s="18"/>
      <c r="G45" s="18"/>
      <c r="H45" s="18"/>
    </row>
    <row r="46" spans="1:8" ht="33.950000000000003" customHeight="1" x14ac:dyDescent="0.25">
      <c r="A46" s="36" t="s">
        <v>59</v>
      </c>
      <c r="B46" s="18"/>
      <c r="C46" s="17" t="s">
        <v>81</v>
      </c>
      <c r="D46" s="18"/>
      <c r="E46" s="18"/>
      <c r="F46" s="18"/>
      <c r="G46" s="18"/>
      <c r="H46" s="18"/>
    </row>
    <row r="47" spans="1:8" ht="48.6" customHeight="1" x14ac:dyDescent="0.25">
      <c r="A47" s="36" t="s">
        <v>82</v>
      </c>
      <c r="B47" s="18"/>
      <c r="C47" s="17" t="s">
        <v>83</v>
      </c>
      <c r="D47" s="18"/>
      <c r="E47" s="18"/>
      <c r="F47" s="18"/>
      <c r="G47" s="18"/>
      <c r="H47" s="18"/>
    </row>
    <row r="48" spans="1:8" ht="20.100000000000001" customHeight="1" x14ac:dyDescent="0.25">
      <c r="C48" s="36" t="s">
        <v>61</v>
      </c>
      <c r="D48" s="18"/>
      <c r="E48" s="18"/>
      <c r="F48" s="18"/>
      <c r="G48" s="40">
        <f>Calculations!$B$17</f>
        <v>8640</v>
      </c>
      <c r="H48" s="21"/>
    </row>
    <row r="49" spans="1:8" ht="20.100000000000001" customHeight="1" x14ac:dyDescent="0.25">
      <c r="C49" s="36" t="s">
        <v>84</v>
      </c>
      <c r="D49" s="18"/>
      <c r="E49" s="18"/>
      <c r="F49" s="18"/>
      <c r="G49" s="42">
        <f>Calculations!$B$15</f>
        <v>0.24</v>
      </c>
      <c r="H49" s="21"/>
    </row>
    <row r="50" spans="1:8" ht="52.5" customHeight="1" x14ac:dyDescent="0.25">
      <c r="C50" s="33" t="s">
        <v>85</v>
      </c>
      <c r="D50" s="18"/>
      <c r="E50" s="18"/>
      <c r="F50" s="18"/>
      <c r="G50" s="18"/>
      <c r="H50" s="18"/>
    </row>
    <row r="51" spans="1:8" ht="40.700000000000003" customHeight="1" x14ac:dyDescent="0.25">
      <c r="C51" s="33" t="s">
        <v>86</v>
      </c>
      <c r="D51" s="18"/>
      <c r="E51" s="18"/>
      <c r="F51" s="18"/>
      <c r="G51" s="18"/>
      <c r="H51" s="18"/>
    </row>
    <row r="52" spans="1:8" ht="19.5" customHeight="1" x14ac:dyDescent="0.25">
      <c r="A52" s="36" t="s">
        <v>64</v>
      </c>
      <c r="B52" s="18"/>
      <c r="C52" s="17" t="s">
        <v>87</v>
      </c>
      <c r="D52" s="18"/>
      <c r="E52" s="18"/>
      <c r="F52" s="18"/>
      <c r="G52" s="18"/>
      <c r="H52" s="18"/>
    </row>
    <row r="53" spans="1:8" ht="63" customHeight="1" x14ac:dyDescent="0.25">
      <c r="A53" s="36" t="s">
        <v>66</v>
      </c>
      <c r="B53" s="18"/>
      <c r="C53" s="17" t="s">
        <v>88</v>
      </c>
      <c r="D53" s="18"/>
      <c r="E53" s="18"/>
      <c r="F53" s="18"/>
      <c r="G53" s="18"/>
      <c r="H53" s="18"/>
    </row>
    <row r="54" spans="1:8" ht="63" customHeight="1" x14ac:dyDescent="0.25">
      <c r="A54" s="36" t="s">
        <v>68</v>
      </c>
      <c r="B54" s="18"/>
      <c r="C54" s="17" t="s">
        <v>89</v>
      </c>
      <c r="D54" s="18"/>
      <c r="E54" s="18"/>
      <c r="F54" s="18"/>
      <c r="G54" s="18"/>
      <c r="H54" s="18"/>
    </row>
    <row r="55" spans="1:8" ht="8.1" customHeight="1" x14ac:dyDescent="0.25"/>
    <row r="56" spans="1:8" ht="3.95" customHeight="1" x14ac:dyDescent="0.25">
      <c r="A56" s="9"/>
      <c r="B56" s="9"/>
      <c r="C56" s="9"/>
      <c r="D56" s="9"/>
      <c r="E56" s="9"/>
      <c r="F56" s="9"/>
      <c r="G56" s="9"/>
      <c r="H56" s="9"/>
    </row>
    <row r="58" spans="1:8" ht="22.15" customHeight="1" x14ac:dyDescent="0.25">
      <c r="A58" s="8" t="s">
        <v>90</v>
      </c>
      <c r="B58" s="9"/>
      <c r="C58" s="9"/>
      <c r="D58" s="9"/>
      <c r="E58" s="9"/>
      <c r="F58" s="9"/>
      <c r="G58" s="9"/>
      <c r="H58" s="9"/>
    </row>
    <row r="59" spans="1:8" ht="18" customHeight="1" x14ac:dyDescent="0.25">
      <c r="A59" s="33" t="s">
        <v>91</v>
      </c>
      <c r="B59" s="18"/>
      <c r="C59" s="18"/>
      <c r="D59" s="18"/>
      <c r="E59" s="18"/>
      <c r="F59" s="18"/>
      <c r="G59" s="18"/>
      <c r="H59" s="18"/>
    </row>
    <row r="61" spans="1:8" ht="24" customHeight="1" x14ac:dyDescent="0.25">
      <c r="A61" s="39" t="s">
        <v>92</v>
      </c>
      <c r="B61" s="18"/>
      <c r="C61" s="18"/>
      <c r="D61" s="18"/>
      <c r="E61" s="18"/>
      <c r="F61" s="18"/>
      <c r="G61" s="18"/>
      <c r="H61" s="18"/>
    </row>
    <row r="62" spans="1:8" ht="19.5" customHeight="1" x14ac:dyDescent="0.25">
      <c r="A62" s="36" t="s">
        <v>55</v>
      </c>
      <c r="B62" s="18"/>
      <c r="C62" s="17" t="s">
        <v>93</v>
      </c>
      <c r="D62" s="18"/>
      <c r="E62" s="18"/>
      <c r="F62" s="18"/>
      <c r="G62" s="18"/>
      <c r="H62" s="18"/>
    </row>
    <row r="63" spans="1:8" ht="33.950000000000003" customHeight="1" x14ac:dyDescent="0.25">
      <c r="A63" s="36" t="s">
        <v>57</v>
      </c>
      <c r="B63" s="18"/>
      <c r="C63" s="17" t="s">
        <v>94</v>
      </c>
      <c r="D63" s="18"/>
      <c r="E63" s="18"/>
      <c r="F63" s="18"/>
      <c r="G63" s="18"/>
      <c r="H63" s="18"/>
    </row>
    <row r="64" spans="1:8" ht="77.650000000000006" customHeight="1" x14ac:dyDescent="0.25">
      <c r="A64" s="36" t="s">
        <v>59</v>
      </c>
      <c r="B64" s="18"/>
      <c r="C64" s="17" t="s">
        <v>95</v>
      </c>
      <c r="D64" s="18"/>
      <c r="E64" s="18"/>
      <c r="F64" s="18"/>
      <c r="G64" s="18"/>
      <c r="H64" s="18"/>
    </row>
    <row r="65" spans="1:8" ht="179.25" customHeight="1" x14ac:dyDescent="0.25">
      <c r="A65" s="36" t="s">
        <v>82</v>
      </c>
      <c r="B65" s="18"/>
      <c r="C65" s="17" t="s">
        <v>96</v>
      </c>
      <c r="D65" s="18"/>
      <c r="E65" s="18"/>
      <c r="F65" s="18"/>
      <c r="G65" s="18"/>
      <c r="H65" s="18"/>
    </row>
    <row r="66" spans="1:8" ht="20.100000000000001" customHeight="1" x14ac:dyDescent="0.25">
      <c r="C66" s="36" t="s">
        <v>97</v>
      </c>
      <c r="D66" s="18"/>
      <c r="E66" s="18"/>
      <c r="F66" s="18"/>
      <c r="G66" s="40">
        <f>Calculations!$B$19</f>
        <v>8205</v>
      </c>
      <c r="H66" s="21"/>
    </row>
    <row r="67" spans="1:8" ht="20.100000000000001" customHeight="1" x14ac:dyDescent="0.25">
      <c r="C67" s="36" t="s">
        <v>98</v>
      </c>
      <c r="D67" s="18"/>
      <c r="E67" s="18"/>
      <c r="F67" s="18"/>
      <c r="G67" s="38">
        <f>Calculations!$B$21</f>
        <v>1393</v>
      </c>
      <c r="H67" s="21"/>
    </row>
    <row r="68" spans="1:8" ht="63" customHeight="1" x14ac:dyDescent="0.25">
      <c r="C68" s="41" t="s">
        <v>99</v>
      </c>
      <c r="D68" s="20"/>
      <c r="E68" s="20"/>
      <c r="F68" s="20"/>
      <c r="G68" s="20"/>
      <c r="H68" s="21"/>
    </row>
    <row r="69" spans="1:8" ht="48.6" customHeight="1" x14ac:dyDescent="0.25">
      <c r="A69" s="36" t="s">
        <v>64</v>
      </c>
      <c r="B69" s="18"/>
      <c r="C69" s="17" t="s">
        <v>100</v>
      </c>
      <c r="D69" s="18"/>
      <c r="E69" s="18"/>
      <c r="F69" s="18"/>
      <c r="G69" s="18"/>
      <c r="H69" s="18"/>
    </row>
    <row r="70" spans="1:8" ht="77.650000000000006" customHeight="1" x14ac:dyDescent="0.25">
      <c r="A70" s="36" t="s">
        <v>66</v>
      </c>
      <c r="B70" s="18"/>
      <c r="C70" s="17" t="s">
        <v>101</v>
      </c>
      <c r="D70" s="18"/>
      <c r="E70" s="18"/>
      <c r="F70" s="18"/>
      <c r="G70" s="18"/>
      <c r="H70" s="18"/>
    </row>
    <row r="71" spans="1:8" ht="63" customHeight="1" x14ac:dyDescent="0.25">
      <c r="A71" s="36" t="s">
        <v>68</v>
      </c>
      <c r="B71" s="18"/>
      <c r="C71" s="17" t="s">
        <v>102</v>
      </c>
      <c r="D71" s="18"/>
      <c r="E71" s="18"/>
      <c r="F71" s="18"/>
      <c r="G71" s="18"/>
      <c r="H71" s="18"/>
    </row>
    <row r="72" spans="1:8" ht="8.1" customHeight="1" x14ac:dyDescent="0.25"/>
    <row r="73" spans="1:8" ht="3.95" customHeight="1" x14ac:dyDescent="0.25">
      <c r="A73" s="9"/>
      <c r="B73" s="9"/>
      <c r="C73" s="9"/>
      <c r="D73" s="9"/>
      <c r="E73" s="9"/>
      <c r="F73" s="9"/>
      <c r="G73" s="9"/>
      <c r="H73" s="9"/>
    </row>
    <row r="75" spans="1:8" ht="24" customHeight="1" x14ac:dyDescent="0.25">
      <c r="A75" s="39" t="s">
        <v>103</v>
      </c>
      <c r="B75" s="18"/>
      <c r="C75" s="18"/>
      <c r="D75" s="18"/>
      <c r="E75" s="18"/>
      <c r="F75" s="18"/>
      <c r="G75" s="18"/>
      <c r="H75" s="18"/>
    </row>
    <row r="76" spans="1:8" ht="19.5" customHeight="1" x14ac:dyDescent="0.25">
      <c r="A76" s="36" t="s">
        <v>55</v>
      </c>
      <c r="B76" s="18"/>
      <c r="C76" s="17" t="s">
        <v>104</v>
      </c>
      <c r="D76" s="18"/>
      <c r="E76" s="18"/>
      <c r="F76" s="18"/>
      <c r="G76" s="18"/>
      <c r="H76" s="18"/>
    </row>
    <row r="77" spans="1:8" ht="48.6" customHeight="1" x14ac:dyDescent="0.25">
      <c r="A77" s="36" t="s">
        <v>57</v>
      </c>
      <c r="B77" s="18"/>
      <c r="C77" s="17" t="s">
        <v>105</v>
      </c>
      <c r="D77" s="18"/>
      <c r="E77" s="18"/>
      <c r="F77" s="18"/>
      <c r="G77" s="18"/>
      <c r="H77" s="18"/>
    </row>
    <row r="78" spans="1:8" ht="33.950000000000003" customHeight="1" x14ac:dyDescent="0.25">
      <c r="A78" s="36" t="s">
        <v>59</v>
      </c>
      <c r="B78" s="18"/>
      <c r="C78" s="17" t="s">
        <v>106</v>
      </c>
      <c r="D78" s="18"/>
      <c r="E78" s="18"/>
      <c r="F78" s="18"/>
      <c r="G78" s="18"/>
      <c r="H78" s="18"/>
    </row>
    <row r="79" spans="1:8" ht="33.950000000000003" customHeight="1" x14ac:dyDescent="0.25">
      <c r="A79" s="36" t="s">
        <v>82</v>
      </c>
      <c r="B79" s="18"/>
      <c r="C79" s="17" t="s">
        <v>107</v>
      </c>
      <c r="D79" s="18"/>
      <c r="E79" s="18"/>
      <c r="F79" s="18"/>
      <c r="G79" s="18"/>
      <c r="H79" s="18"/>
    </row>
    <row r="80" spans="1:8" ht="20.100000000000001" customHeight="1" x14ac:dyDescent="0.25">
      <c r="C80" s="36" t="s">
        <v>61</v>
      </c>
      <c r="D80" s="18"/>
      <c r="E80" s="18"/>
      <c r="F80" s="18"/>
      <c r="G80" s="40">
        <f>Calculations!$B$24</f>
        <v>2919</v>
      </c>
      <c r="H80" s="21"/>
    </row>
    <row r="81" spans="1:8" ht="20.100000000000001" customHeight="1" x14ac:dyDescent="0.25">
      <c r="C81" s="17" t="s">
        <v>62</v>
      </c>
      <c r="D81" s="18"/>
      <c r="E81" s="18"/>
      <c r="F81" s="18"/>
      <c r="G81" s="38">
        <f>Calculations!$B$25</f>
        <v>2335</v>
      </c>
      <c r="H81" s="21"/>
    </row>
    <row r="82" spans="1:8" ht="33.950000000000003" customHeight="1" x14ac:dyDescent="0.25">
      <c r="A82" s="36" t="s">
        <v>64</v>
      </c>
      <c r="B82" s="18"/>
      <c r="C82" s="17" t="s">
        <v>108</v>
      </c>
      <c r="D82" s="18"/>
      <c r="E82" s="18"/>
      <c r="F82" s="18"/>
      <c r="G82" s="18"/>
      <c r="H82" s="18"/>
    </row>
    <row r="83" spans="1:8" ht="48.6" customHeight="1" x14ac:dyDescent="0.25">
      <c r="A83" s="36" t="s">
        <v>66</v>
      </c>
      <c r="B83" s="18"/>
      <c r="C83" s="17" t="s">
        <v>109</v>
      </c>
      <c r="D83" s="18"/>
      <c r="E83" s="18"/>
      <c r="F83" s="18"/>
      <c r="G83" s="18"/>
      <c r="H83" s="18"/>
    </row>
    <row r="84" spans="1:8" ht="48.6" customHeight="1" x14ac:dyDescent="0.25">
      <c r="A84" s="36" t="s">
        <v>110</v>
      </c>
      <c r="B84" s="18"/>
      <c r="C84" s="17" t="s">
        <v>111</v>
      </c>
      <c r="D84" s="18"/>
      <c r="E84" s="18"/>
      <c r="F84" s="18"/>
      <c r="G84" s="18"/>
      <c r="H84" s="18"/>
    </row>
    <row r="85" spans="1:8" ht="48.6" customHeight="1" x14ac:dyDescent="0.25">
      <c r="A85" s="36" t="s">
        <v>68</v>
      </c>
      <c r="B85" s="18"/>
      <c r="C85" s="17" t="s">
        <v>112</v>
      </c>
      <c r="D85" s="18"/>
      <c r="E85" s="18"/>
      <c r="F85" s="18"/>
      <c r="G85" s="18"/>
      <c r="H85" s="18"/>
    </row>
    <row r="86" spans="1:8" ht="8.1" customHeight="1" x14ac:dyDescent="0.25"/>
    <row r="87" spans="1:8" ht="3.95" customHeight="1" x14ac:dyDescent="0.25">
      <c r="A87" s="9"/>
      <c r="B87" s="9"/>
      <c r="C87" s="9"/>
      <c r="D87" s="9"/>
      <c r="E87" s="9"/>
      <c r="F87" s="9"/>
      <c r="G87" s="9"/>
      <c r="H87" s="9"/>
    </row>
    <row r="89" spans="1:8" ht="24" customHeight="1" x14ac:dyDescent="0.25">
      <c r="A89" s="39" t="s">
        <v>113</v>
      </c>
      <c r="B89" s="18"/>
      <c r="C89" s="18"/>
      <c r="D89" s="18"/>
      <c r="E89" s="18"/>
      <c r="F89" s="18"/>
      <c r="G89" s="18"/>
      <c r="H89" s="18"/>
    </row>
    <row r="90" spans="1:8" ht="19.5" customHeight="1" x14ac:dyDescent="0.25">
      <c r="A90" s="36" t="s">
        <v>55</v>
      </c>
      <c r="B90" s="18"/>
      <c r="C90" s="17" t="s">
        <v>114</v>
      </c>
      <c r="D90" s="18"/>
      <c r="E90" s="18"/>
      <c r="F90" s="18"/>
      <c r="G90" s="18"/>
      <c r="H90" s="18"/>
    </row>
    <row r="91" spans="1:8" ht="48.6" customHeight="1" x14ac:dyDescent="0.25">
      <c r="A91" s="36" t="s">
        <v>57</v>
      </c>
      <c r="B91" s="18"/>
      <c r="C91" s="17" t="s">
        <v>115</v>
      </c>
      <c r="D91" s="18"/>
      <c r="E91" s="18"/>
      <c r="F91" s="18"/>
      <c r="G91" s="18"/>
      <c r="H91" s="18"/>
    </row>
    <row r="92" spans="1:8" ht="33.950000000000003" customHeight="1" x14ac:dyDescent="0.25">
      <c r="A92" s="36" t="s">
        <v>59</v>
      </c>
      <c r="B92" s="18"/>
      <c r="C92" s="17" t="s">
        <v>116</v>
      </c>
      <c r="D92" s="18"/>
      <c r="E92" s="18"/>
      <c r="F92" s="18"/>
      <c r="G92" s="18"/>
      <c r="H92" s="18"/>
    </row>
    <row r="93" spans="1:8" ht="19.5" customHeight="1" x14ac:dyDescent="0.25">
      <c r="A93" s="36" t="s">
        <v>82</v>
      </c>
      <c r="B93" s="18"/>
      <c r="C93" s="17" t="s">
        <v>117</v>
      </c>
      <c r="D93" s="18"/>
      <c r="E93" s="18"/>
      <c r="F93" s="18"/>
      <c r="G93" s="18"/>
      <c r="H93" s="18"/>
    </row>
    <row r="94" spans="1:8" ht="20.100000000000001" customHeight="1" x14ac:dyDescent="0.25">
      <c r="C94" s="36" t="s">
        <v>61</v>
      </c>
      <c r="D94" s="18"/>
      <c r="E94" s="18"/>
      <c r="F94" s="18"/>
      <c r="G94" s="40">
        <f>Calculations!$B$28</f>
        <v>7350</v>
      </c>
      <c r="H94" s="21"/>
    </row>
    <row r="95" spans="1:8" ht="20.100000000000001" customHeight="1" x14ac:dyDescent="0.25">
      <c r="C95" s="17" t="s">
        <v>62</v>
      </c>
      <c r="D95" s="18"/>
      <c r="E95" s="18"/>
      <c r="F95" s="18"/>
      <c r="G95" s="38">
        <f>Calculations!$B$29</f>
        <v>5880</v>
      </c>
      <c r="H95" s="21"/>
    </row>
    <row r="96" spans="1:8" ht="48.6" customHeight="1" x14ac:dyDescent="0.25">
      <c r="A96" s="36" t="s">
        <v>64</v>
      </c>
      <c r="B96" s="18"/>
      <c r="C96" s="17" t="s">
        <v>118</v>
      </c>
      <c r="D96" s="18"/>
      <c r="E96" s="18"/>
      <c r="F96" s="18"/>
      <c r="G96" s="18"/>
      <c r="H96" s="18"/>
    </row>
    <row r="97" spans="1:8" ht="63" customHeight="1" x14ac:dyDescent="0.25">
      <c r="A97" s="36" t="s">
        <v>66</v>
      </c>
      <c r="B97" s="18"/>
      <c r="C97" s="17" t="s">
        <v>119</v>
      </c>
      <c r="D97" s="18"/>
      <c r="E97" s="18"/>
      <c r="F97" s="18"/>
      <c r="G97" s="18"/>
      <c r="H97" s="18"/>
    </row>
    <row r="98" spans="1:8" ht="63" customHeight="1" x14ac:dyDescent="0.25">
      <c r="A98" s="36" t="s">
        <v>68</v>
      </c>
      <c r="B98" s="18"/>
      <c r="C98" s="17" t="s">
        <v>120</v>
      </c>
      <c r="D98" s="18"/>
      <c r="E98" s="18"/>
      <c r="F98" s="18"/>
      <c r="G98" s="18"/>
      <c r="H98" s="18"/>
    </row>
    <row r="99" spans="1:8" ht="8.1" customHeight="1" x14ac:dyDescent="0.25"/>
    <row r="100" spans="1:8" ht="3.95" customHeight="1" x14ac:dyDescent="0.25">
      <c r="A100" s="9"/>
      <c r="B100" s="9"/>
      <c r="C100" s="9"/>
      <c r="D100" s="9"/>
      <c r="E100" s="9"/>
      <c r="F100" s="9"/>
      <c r="G100" s="9"/>
      <c r="H100" s="9"/>
    </row>
    <row r="102" spans="1:8" ht="24" customHeight="1" x14ac:dyDescent="0.25">
      <c r="A102" s="39" t="s">
        <v>121</v>
      </c>
      <c r="B102" s="18"/>
      <c r="C102" s="18"/>
      <c r="D102" s="18"/>
      <c r="E102" s="18"/>
      <c r="F102" s="18"/>
      <c r="G102" s="18"/>
      <c r="H102" s="18"/>
    </row>
    <row r="103" spans="1:8" ht="19.5" customHeight="1" x14ac:dyDescent="0.25">
      <c r="A103" s="36" t="s">
        <v>55</v>
      </c>
      <c r="B103" s="18"/>
      <c r="C103" s="17" t="s">
        <v>122</v>
      </c>
      <c r="D103" s="18"/>
      <c r="E103" s="18"/>
      <c r="F103" s="18"/>
      <c r="G103" s="18"/>
      <c r="H103" s="18"/>
    </row>
    <row r="104" spans="1:8" ht="77.650000000000006" customHeight="1" x14ac:dyDescent="0.25">
      <c r="A104" s="36" t="s">
        <v>57</v>
      </c>
      <c r="B104" s="18"/>
      <c r="C104" s="17" t="s">
        <v>123</v>
      </c>
      <c r="D104" s="18"/>
      <c r="E104" s="18"/>
      <c r="F104" s="18"/>
      <c r="G104" s="18"/>
      <c r="H104" s="18"/>
    </row>
    <row r="105" spans="1:8" ht="77.650000000000006" customHeight="1" x14ac:dyDescent="0.25">
      <c r="A105" s="36" t="s">
        <v>59</v>
      </c>
      <c r="B105" s="18"/>
      <c r="C105" s="17" t="s">
        <v>124</v>
      </c>
      <c r="D105" s="18"/>
      <c r="E105" s="18"/>
      <c r="F105" s="18"/>
      <c r="G105" s="18"/>
      <c r="H105" s="18"/>
    </row>
    <row r="106" spans="1:8" ht="179.25" customHeight="1" x14ac:dyDescent="0.25">
      <c r="A106" s="36" t="s">
        <v>82</v>
      </c>
      <c r="B106" s="18"/>
      <c r="C106" s="17" t="s">
        <v>125</v>
      </c>
      <c r="D106" s="18"/>
      <c r="E106" s="18"/>
      <c r="F106" s="18"/>
      <c r="G106" s="18"/>
      <c r="H106" s="18"/>
    </row>
    <row r="107" spans="1:8" ht="20.100000000000001" customHeight="1" x14ac:dyDescent="0.25">
      <c r="C107" s="36" t="s">
        <v>61</v>
      </c>
      <c r="D107" s="18"/>
      <c r="E107" s="18"/>
      <c r="F107" s="18"/>
      <c r="G107" s="40">
        <f>Calculations!$B$32</f>
        <v>10500</v>
      </c>
      <c r="H107" s="21"/>
    </row>
    <row r="108" spans="1:8" ht="20.100000000000001" customHeight="1" x14ac:dyDescent="0.25">
      <c r="C108" s="17" t="s">
        <v>62</v>
      </c>
      <c r="D108" s="18"/>
      <c r="E108" s="18"/>
      <c r="F108" s="18"/>
      <c r="G108" s="38">
        <f>Calculations!$B$33</f>
        <v>8400</v>
      </c>
      <c r="H108" s="21"/>
    </row>
    <row r="109" spans="1:8" ht="20.100000000000001" customHeight="1" x14ac:dyDescent="0.25">
      <c r="C109" s="36" t="s">
        <v>126</v>
      </c>
      <c r="D109" s="18"/>
      <c r="E109" s="18"/>
      <c r="F109" s="18"/>
      <c r="G109" s="38">
        <f>Calculations!$B$34</f>
        <v>1046</v>
      </c>
      <c r="H109" s="21"/>
    </row>
    <row r="110" spans="1:8" ht="33.950000000000003" customHeight="1" x14ac:dyDescent="0.25">
      <c r="A110" s="36" t="s">
        <v>64</v>
      </c>
      <c r="B110" s="18"/>
      <c r="C110" s="17" t="s">
        <v>127</v>
      </c>
      <c r="D110" s="18"/>
      <c r="E110" s="18"/>
      <c r="F110" s="18"/>
      <c r="G110" s="18"/>
      <c r="H110" s="18"/>
    </row>
    <row r="111" spans="1:8" ht="48.6" customHeight="1" x14ac:dyDescent="0.25">
      <c r="A111" s="36" t="s">
        <v>66</v>
      </c>
      <c r="B111" s="18"/>
      <c r="C111" s="17" t="s">
        <v>128</v>
      </c>
      <c r="D111" s="18"/>
      <c r="E111" s="18"/>
      <c r="F111" s="18"/>
      <c r="G111" s="18"/>
      <c r="H111" s="18"/>
    </row>
    <row r="112" spans="1:8" ht="92.1" customHeight="1" x14ac:dyDescent="0.25">
      <c r="A112" s="36" t="s">
        <v>68</v>
      </c>
      <c r="B112" s="18"/>
      <c r="C112" s="17" t="s">
        <v>129</v>
      </c>
      <c r="D112" s="18"/>
      <c r="E112" s="18"/>
      <c r="F112" s="18"/>
      <c r="G112" s="18"/>
      <c r="H112" s="18"/>
    </row>
    <row r="113" spans="1:8" ht="8.1" customHeight="1" x14ac:dyDescent="0.25"/>
    <row r="114" spans="1:8" ht="3.95" customHeight="1" x14ac:dyDescent="0.25">
      <c r="A114" s="9"/>
      <c r="B114" s="9"/>
      <c r="C114" s="9"/>
      <c r="D114" s="9"/>
      <c r="E114" s="9"/>
      <c r="F114" s="9"/>
      <c r="G114" s="9"/>
      <c r="H114" s="9"/>
    </row>
    <row r="116" spans="1:8" ht="22.15" customHeight="1" x14ac:dyDescent="0.25">
      <c r="A116" s="8" t="s">
        <v>130</v>
      </c>
      <c r="B116" s="9"/>
      <c r="C116" s="9"/>
      <c r="D116" s="9"/>
      <c r="E116" s="9"/>
      <c r="F116" s="9"/>
      <c r="G116" s="9"/>
      <c r="H116" s="9"/>
    </row>
    <row r="117" spans="1:8" ht="18" customHeight="1" x14ac:dyDescent="0.25">
      <c r="A117" s="33" t="s">
        <v>131</v>
      </c>
      <c r="B117" s="18"/>
      <c r="C117" s="18"/>
      <c r="D117" s="18"/>
      <c r="E117" s="18"/>
      <c r="F117" s="18"/>
      <c r="G117" s="18"/>
      <c r="H117" s="18"/>
    </row>
    <row r="119" spans="1:8" ht="24" customHeight="1" x14ac:dyDescent="0.25">
      <c r="A119" s="39" t="s">
        <v>132</v>
      </c>
      <c r="B119" s="18"/>
      <c r="C119" s="18"/>
      <c r="D119" s="18"/>
      <c r="E119" s="18"/>
      <c r="F119" s="18"/>
      <c r="G119" s="18"/>
      <c r="H119" s="18"/>
    </row>
    <row r="120" spans="1:8" ht="19.5" customHeight="1" x14ac:dyDescent="0.25">
      <c r="A120" s="36" t="s">
        <v>55</v>
      </c>
      <c r="B120" s="18"/>
      <c r="C120" s="17" t="s">
        <v>133</v>
      </c>
      <c r="D120" s="18"/>
      <c r="E120" s="18"/>
      <c r="F120" s="18"/>
      <c r="G120" s="18"/>
      <c r="H120" s="18"/>
    </row>
    <row r="121" spans="1:8" ht="48.6" customHeight="1" x14ac:dyDescent="0.25">
      <c r="A121" s="36" t="s">
        <v>57</v>
      </c>
      <c r="B121" s="18"/>
      <c r="C121" s="17" t="s">
        <v>134</v>
      </c>
      <c r="D121" s="18"/>
      <c r="E121" s="18"/>
      <c r="F121" s="18"/>
      <c r="G121" s="18"/>
      <c r="H121" s="18"/>
    </row>
    <row r="122" spans="1:8" ht="63" customHeight="1" x14ac:dyDescent="0.25">
      <c r="A122" s="36" t="s">
        <v>59</v>
      </c>
      <c r="B122" s="18"/>
      <c r="C122" s="17" t="s">
        <v>135</v>
      </c>
      <c r="D122" s="18"/>
      <c r="E122" s="18"/>
      <c r="F122" s="18"/>
      <c r="G122" s="18"/>
      <c r="H122" s="18"/>
    </row>
    <row r="123" spans="1:8" ht="20.100000000000001" customHeight="1" x14ac:dyDescent="0.25">
      <c r="C123" s="36" t="s">
        <v>61</v>
      </c>
      <c r="D123" s="18"/>
      <c r="E123" s="18"/>
      <c r="F123" s="18"/>
      <c r="G123" s="40">
        <f>Calculations!$B$37</f>
        <v>140000</v>
      </c>
      <c r="H123" s="21"/>
    </row>
    <row r="124" spans="1:8" ht="20.100000000000001" customHeight="1" x14ac:dyDescent="0.25">
      <c r="C124" s="17" t="s">
        <v>62</v>
      </c>
      <c r="D124" s="18"/>
      <c r="E124" s="18"/>
      <c r="F124" s="18"/>
      <c r="G124" s="38">
        <f>Calculations!$B$38</f>
        <v>112000</v>
      </c>
      <c r="H124" s="21"/>
    </row>
    <row r="125" spans="1:8" ht="19.5" customHeight="1" x14ac:dyDescent="0.25">
      <c r="C125" s="41" t="s">
        <v>63</v>
      </c>
      <c r="D125" s="20"/>
      <c r="E125" s="20"/>
      <c r="F125" s="20"/>
      <c r="G125" s="20"/>
      <c r="H125" s="21"/>
    </row>
    <row r="126" spans="1:8" ht="33.950000000000003" customHeight="1" x14ac:dyDescent="0.25">
      <c r="A126" s="36" t="s">
        <v>64</v>
      </c>
      <c r="B126" s="18"/>
      <c r="C126" s="17" t="s">
        <v>136</v>
      </c>
      <c r="D126" s="18"/>
      <c r="E126" s="18"/>
      <c r="F126" s="18"/>
      <c r="G126" s="18"/>
      <c r="H126" s="18"/>
    </row>
    <row r="127" spans="1:8" ht="33.950000000000003" customHeight="1" x14ac:dyDescent="0.25">
      <c r="A127" s="36" t="s">
        <v>66</v>
      </c>
      <c r="B127" s="18"/>
      <c r="C127" s="17" t="s">
        <v>137</v>
      </c>
      <c r="D127" s="18"/>
      <c r="E127" s="18"/>
      <c r="F127" s="18"/>
      <c r="G127" s="18"/>
      <c r="H127" s="18"/>
    </row>
    <row r="128" spans="1:8" ht="48.6" customHeight="1" x14ac:dyDescent="0.25">
      <c r="A128" s="36" t="s">
        <v>68</v>
      </c>
      <c r="B128" s="18"/>
      <c r="C128" s="17" t="s">
        <v>138</v>
      </c>
      <c r="D128" s="18"/>
      <c r="E128" s="18"/>
      <c r="F128" s="18"/>
      <c r="G128" s="18"/>
      <c r="H128" s="18"/>
    </row>
    <row r="129" spans="1:8" ht="8.1" customHeight="1" x14ac:dyDescent="0.25"/>
    <row r="130" spans="1:8" ht="3.95" customHeight="1" x14ac:dyDescent="0.25">
      <c r="A130" s="9"/>
      <c r="B130" s="9"/>
      <c r="C130" s="9"/>
      <c r="D130" s="9"/>
      <c r="E130" s="9"/>
      <c r="F130" s="9"/>
      <c r="G130" s="9"/>
      <c r="H130" s="9"/>
    </row>
    <row r="132" spans="1:8" ht="24" customHeight="1" x14ac:dyDescent="0.25">
      <c r="A132" s="39" t="s">
        <v>139</v>
      </c>
      <c r="B132" s="18"/>
      <c r="C132" s="18"/>
      <c r="D132" s="18"/>
      <c r="E132" s="18"/>
      <c r="F132" s="18"/>
      <c r="G132" s="18"/>
      <c r="H132" s="18"/>
    </row>
    <row r="133" spans="1:8" ht="19.5" customHeight="1" x14ac:dyDescent="0.25">
      <c r="A133" s="36" t="s">
        <v>55</v>
      </c>
      <c r="B133" s="18"/>
      <c r="C133" s="17" t="s">
        <v>140</v>
      </c>
      <c r="D133" s="18"/>
      <c r="E133" s="18"/>
      <c r="F133" s="18"/>
      <c r="G133" s="18"/>
      <c r="H133" s="18"/>
    </row>
    <row r="134" spans="1:8" ht="48.6" customHeight="1" x14ac:dyDescent="0.25">
      <c r="A134" s="36" t="s">
        <v>57</v>
      </c>
      <c r="B134" s="18"/>
      <c r="C134" s="17" t="s">
        <v>141</v>
      </c>
      <c r="D134" s="18"/>
      <c r="E134" s="18"/>
      <c r="F134" s="18"/>
      <c r="G134" s="18"/>
      <c r="H134" s="18"/>
    </row>
    <row r="135" spans="1:8" ht="19.5" customHeight="1" x14ac:dyDescent="0.25">
      <c r="A135" s="36" t="s">
        <v>59</v>
      </c>
      <c r="B135" s="18"/>
      <c r="C135" s="17" t="s">
        <v>142</v>
      </c>
      <c r="D135" s="18"/>
      <c r="E135" s="18"/>
      <c r="F135" s="18"/>
      <c r="G135" s="18"/>
      <c r="H135" s="18"/>
    </row>
    <row r="136" spans="1:8" ht="33.950000000000003" customHeight="1" x14ac:dyDescent="0.25">
      <c r="A136" s="36" t="s">
        <v>82</v>
      </c>
      <c r="B136" s="18"/>
      <c r="C136" s="17" t="s">
        <v>143</v>
      </c>
      <c r="D136" s="18"/>
      <c r="E136" s="18"/>
      <c r="F136" s="18"/>
      <c r="G136" s="18"/>
      <c r="H136" s="18"/>
    </row>
    <row r="137" spans="1:8" ht="33.950000000000003" customHeight="1" x14ac:dyDescent="0.25">
      <c r="C137" s="43" t="s">
        <v>144</v>
      </c>
      <c r="D137" s="20"/>
      <c r="E137" s="20"/>
      <c r="F137" s="20"/>
      <c r="G137" s="20"/>
      <c r="H137" s="21"/>
    </row>
    <row r="138" spans="1:8" ht="19.5" customHeight="1" x14ac:dyDescent="0.25">
      <c r="A138" s="36" t="s">
        <v>64</v>
      </c>
      <c r="B138" s="18"/>
      <c r="C138" s="17" t="s">
        <v>145</v>
      </c>
      <c r="D138" s="18"/>
      <c r="E138" s="18"/>
      <c r="F138" s="18"/>
      <c r="G138" s="18"/>
      <c r="H138" s="18"/>
    </row>
    <row r="139" spans="1:8" ht="48.6" customHeight="1" x14ac:dyDescent="0.25">
      <c r="A139" s="36" t="s">
        <v>66</v>
      </c>
      <c r="B139" s="18"/>
      <c r="C139" s="17" t="s">
        <v>146</v>
      </c>
      <c r="D139" s="18"/>
      <c r="E139" s="18"/>
      <c r="F139" s="18"/>
      <c r="G139" s="18"/>
      <c r="H139" s="18"/>
    </row>
    <row r="140" spans="1:8" ht="48.6" customHeight="1" x14ac:dyDescent="0.25">
      <c r="A140" s="36" t="s">
        <v>68</v>
      </c>
      <c r="B140" s="18"/>
      <c r="C140" s="17" t="s">
        <v>147</v>
      </c>
      <c r="D140" s="18"/>
      <c r="E140" s="18"/>
      <c r="F140" s="18"/>
      <c r="G140" s="18"/>
      <c r="H140" s="18"/>
    </row>
    <row r="141" spans="1:8" ht="8.1" customHeight="1" x14ac:dyDescent="0.25"/>
    <row r="142" spans="1:8" ht="3.95" customHeight="1" x14ac:dyDescent="0.25">
      <c r="A142" s="9"/>
      <c r="B142" s="9"/>
      <c r="C142" s="9"/>
      <c r="D142" s="9"/>
      <c r="E142" s="9"/>
      <c r="F142" s="9"/>
      <c r="G142" s="9"/>
      <c r="H142" s="9"/>
    </row>
    <row r="144" spans="1:8" ht="24" customHeight="1" x14ac:dyDescent="0.25">
      <c r="A144" s="39" t="s">
        <v>148</v>
      </c>
      <c r="B144" s="18"/>
      <c r="C144" s="18"/>
      <c r="D144" s="18"/>
      <c r="E144" s="18"/>
      <c r="F144" s="18"/>
      <c r="G144" s="18"/>
      <c r="H144" s="18"/>
    </row>
    <row r="145" spans="1:8" ht="19.5" customHeight="1" x14ac:dyDescent="0.25">
      <c r="A145" s="36" t="s">
        <v>55</v>
      </c>
      <c r="B145" s="18"/>
      <c r="C145" s="17" t="s">
        <v>149</v>
      </c>
      <c r="D145" s="18"/>
      <c r="E145" s="18"/>
      <c r="F145" s="18"/>
      <c r="G145" s="18"/>
      <c r="H145" s="18"/>
    </row>
    <row r="146" spans="1:8" ht="150.19999999999999" customHeight="1" x14ac:dyDescent="0.25">
      <c r="A146" s="36" t="s">
        <v>57</v>
      </c>
      <c r="B146" s="18"/>
      <c r="C146" s="17" t="s">
        <v>150</v>
      </c>
      <c r="D146" s="18"/>
      <c r="E146" s="18"/>
      <c r="F146" s="18"/>
      <c r="G146" s="18"/>
      <c r="H146" s="18"/>
    </row>
    <row r="147" spans="1:8" ht="77.650000000000006" customHeight="1" x14ac:dyDescent="0.25">
      <c r="A147" s="36" t="s">
        <v>59</v>
      </c>
      <c r="B147" s="18"/>
      <c r="C147" s="17" t="s">
        <v>151</v>
      </c>
      <c r="D147" s="18"/>
      <c r="E147" s="18"/>
      <c r="F147" s="18"/>
      <c r="G147" s="18"/>
      <c r="H147" s="18"/>
    </row>
    <row r="148" spans="1:8" ht="63" customHeight="1" x14ac:dyDescent="0.25">
      <c r="A148" s="36" t="s">
        <v>82</v>
      </c>
      <c r="B148" s="18"/>
      <c r="C148" s="17" t="s">
        <v>152</v>
      </c>
      <c r="D148" s="18"/>
      <c r="E148" s="18"/>
      <c r="F148" s="18"/>
      <c r="G148" s="18"/>
      <c r="H148" s="18"/>
    </row>
    <row r="149" spans="1:8" ht="20.100000000000001" customHeight="1" x14ac:dyDescent="0.25">
      <c r="C149" s="36" t="s">
        <v>61</v>
      </c>
      <c r="D149" s="18"/>
      <c r="E149" s="18"/>
      <c r="F149" s="18"/>
      <c r="G149" s="40">
        <f>Calculations!$B$42</f>
        <v>6300</v>
      </c>
      <c r="H149" s="21"/>
    </row>
    <row r="150" spans="1:8" ht="20.100000000000001" customHeight="1" x14ac:dyDescent="0.25">
      <c r="C150" s="17" t="s">
        <v>62</v>
      </c>
      <c r="D150" s="18"/>
      <c r="E150" s="18"/>
      <c r="F150" s="18"/>
      <c r="G150" s="38">
        <f>Calculations!$B$43</f>
        <v>5040</v>
      </c>
      <c r="H150" s="21"/>
    </row>
    <row r="151" spans="1:8" ht="20.100000000000001" customHeight="1" x14ac:dyDescent="0.25">
      <c r="C151" s="36" t="s">
        <v>126</v>
      </c>
      <c r="D151" s="18"/>
      <c r="E151" s="18"/>
      <c r="F151" s="18"/>
      <c r="G151" s="38">
        <f>Calculations!$B$44</f>
        <v>632</v>
      </c>
      <c r="H151" s="21"/>
    </row>
    <row r="152" spans="1:8" ht="33.950000000000003" customHeight="1" x14ac:dyDescent="0.25">
      <c r="A152" s="36" t="s">
        <v>64</v>
      </c>
      <c r="B152" s="18"/>
      <c r="C152" s="17" t="s">
        <v>153</v>
      </c>
      <c r="D152" s="18"/>
      <c r="E152" s="18"/>
      <c r="F152" s="18"/>
      <c r="G152" s="18"/>
      <c r="H152" s="18"/>
    </row>
    <row r="153" spans="1:8" ht="33.950000000000003" customHeight="1" x14ac:dyDescent="0.25">
      <c r="A153" s="36" t="s">
        <v>66</v>
      </c>
      <c r="B153" s="18"/>
      <c r="C153" s="17" t="s">
        <v>154</v>
      </c>
      <c r="D153" s="18"/>
      <c r="E153" s="18"/>
      <c r="F153" s="18"/>
      <c r="G153" s="18"/>
      <c r="H153" s="18"/>
    </row>
    <row r="154" spans="1:8" ht="48.6" customHeight="1" x14ac:dyDescent="0.25">
      <c r="A154" s="36" t="s">
        <v>155</v>
      </c>
      <c r="B154" s="18"/>
      <c r="C154" s="17" t="s">
        <v>156</v>
      </c>
      <c r="D154" s="18"/>
      <c r="E154" s="18"/>
      <c r="F154" s="18"/>
      <c r="G154" s="18"/>
      <c r="H154" s="18"/>
    </row>
    <row r="155" spans="1:8" ht="48.6" customHeight="1" x14ac:dyDescent="0.25">
      <c r="A155" s="36" t="s">
        <v>68</v>
      </c>
      <c r="B155" s="18"/>
      <c r="C155" s="17" t="s">
        <v>157</v>
      </c>
      <c r="D155" s="18"/>
      <c r="E155" s="18"/>
      <c r="F155" s="18"/>
      <c r="G155" s="18"/>
      <c r="H155" s="18"/>
    </row>
    <row r="156" spans="1:8" ht="8.1" customHeight="1" x14ac:dyDescent="0.25"/>
    <row r="157" spans="1:8" ht="3.95" customHeight="1" x14ac:dyDescent="0.25">
      <c r="A157" s="9"/>
      <c r="B157" s="9"/>
      <c r="C157" s="9"/>
      <c r="D157" s="9"/>
      <c r="E157" s="9"/>
      <c r="F157" s="9"/>
      <c r="G157" s="9"/>
      <c r="H157" s="9"/>
    </row>
    <row r="159" spans="1:8" ht="24" customHeight="1" x14ac:dyDescent="0.25">
      <c r="A159" s="39" t="s">
        <v>158</v>
      </c>
      <c r="B159" s="18"/>
      <c r="C159" s="18"/>
      <c r="D159" s="18"/>
      <c r="E159" s="18"/>
      <c r="F159" s="18"/>
      <c r="G159" s="18"/>
      <c r="H159" s="18"/>
    </row>
    <row r="160" spans="1:8" ht="19.5" customHeight="1" x14ac:dyDescent="0.25">
      <c r="A160" s="36" t="s">
        <v>55</v>
      </c>
      <c r="B160" s="18"/>
      <c r="C160" s="17" t="s">
        <v>159</v>
      </c>
      <c r="D160" s="18"/>
      <c r="E160" s="18"/>
      <c r="F160" s="18"/>
      <c r="G160" s="18"/>
      <c r="H160" s="18"/>
    </row>
    <row r="161" spans="1:8" ht="135.6" customHeight="1" x14ac:dyDescent="0.25">
      <c r="A161" s="36" t="s">
        <v>57</v>
      </c>
      <c r="B161" s="18"/>
      <c r="C161" s="17" t="s">
        <v>160</v>
      </c>
      <c r="D161" s="18"/>
      <c r="E161" s="18"/>
      <c r="F161" s="18"/>
      <c r="G161" s="18"/>
      <c r="H161" s="18"/>
    </row>
    <row r="162" spans="1:8" ht="63" customHeight="1" x14ac:dyDescent="0.25">
      <c r="A162" s="36" t="s">
        <v>59</v>
      </c>
      <c r="B162" s="18"/>
      <c r="C162" s="17" t="s">
        <v>161</v>
      </c>
      <c r="D162" s="18"/>
      <c r="E162" s="18"/>
      <c r="F162" s="18"/>
      <c r="G162" s="18"/>
      <c r="H162" s="18"/>
    </row>
    <row r="163" spans="1:8" ht="92.1" customHeight="1" x14ac:dyDescent="0.25">
      <c r="A163" s="36" t="s">
        <v>82</v>
      </c>
      <c r="B163" s="18"/>
      <c r="C163" s="17" t="s">
        <v>162</v>
      </c>
      <c r="D163" s="18"/>
      <c r="E163" s="18"/>
      <c r="F163" s="18"/>
      <c r="G163" s="18"/>
      <c r="H163" s="18"/>
    </row>
    <row r="164" spans="1:8" ht="20.100000000000001" customHeight="1" x14ac:dyDescent="0.25">
      <c r="C164" s="36" t="s">
        <v>163</v>
      </c>
      <c r="D164" s="18"/>
      <c r="E164" s="18"/>
      <c r="F164" s="18"/>
      <c r="G164" s="40">
        <f>Calculations!$B$46</f>
        <v>5250</v>
      </c>
      <c r="H164" s="21"/>
    </row>
    <row r="165" spans="1:8" ht="28.7" customHeight="1" x14ac:dyDescent="0.25">
      <c r="C165" s="33" t="s">
        <v>164</v>
      </c>
      <c r="D165" s="18"/>
      <c r="E165" s="18"/>
      <c r="F165" s="18"/>
      <c r="G165" s="18"/>
      <c r="H165" s="18"/>
    </row>
    <row r="166" spans="1:8" ht="33.950000000000003" customHeight="1" x14ac:dyDescent="0.25">
      <c r="A166" s="36" t="s">
        <v>64</v>
      </c>
      <c r="B166" s="18"/>
      <c r="C166" s="17" t="s">
        <v>165</v>
      </c>
      <c r="D166" s="18"/>
      <c r="E166" s="18"/>
      <c r="F166" s="18"/>
      <c r="G166" s="18"/>
      <c r="H166" s="18"/>
    </row>
    <row r="167" spans="1:8" ht="48.6" customHeight="1" x14ac:dyDescent="0.25">
      <c r="A167" s="36" t="s">
        <v>66</v>
      </c>
      <c r="B167" s="18"/>
      <c r="C167" s="17" t="s">
        <v>166</v>
      </c>
      <c r="D167" s="18"/>
      <c r="E167" s="18"/>
      <c r="F167" s="18"/>
      <c r="G167" s="18"/>
      <c r="H167" s="18"/>
    </row>
    <row r="168" spans="1:8" ht="48.6" customHeight="1" x14ac:dyDescent="0.25">
      <c r="A168" s="36" t="s">
        <v>68</v>
      </c>
      <c r="B168" s="18"/>
      <c r="C168" s="17" t="s">
        <v>167</v>
      </c>
      <c r="D168" s="18"/>
      <c r="E168" s="18"/>
      <c r="F168" s="18"/>
      <c r="G168" s="18"/>
      <c r="H168" s="18"/>
    </row>
    <row r="169" spans="1:8" ht="8.1" customHeight="1" x14ac:dyDescent="0.25"/>
    <row r="170" spans="1:8" ht="3.95" customHeight="1" x14ac:dyDescent="0.25">
      <c r="A170" s="9"/>
      <c r="B170" s="9"/>
      <c r="C170" s="9"/>
      <c r="D170" s="9"/>
      <c r="E170" s="9"/>
      <c r="F170" s="9"/>
      <c r="G170" s="9"/>
      <c r="H170" s="9"/>
    </row>
    <row r="172" spans="1:8" ht="22.15" customHeight="1" x14ac:dyDescent="0.25">
      <c r="A172" s="8" t="s">
        <v>168</v>
      </c>
      <c r="B172" s="9"/>
      <c r="C172" s="9"/>
      <c r="D172" s="9"/>
      <c r="E172" s="9"/>
      <c r="F172" s="9"/>
      <c r="G172" s="9"/>
      <c r="H172" s="9"/>
    </row>
    <row r="173" spans="1:8" ht="18" customHeight="1" x14ac:dyDescent="0.25">
      <c r="A173" s="33" t="s">
        <v>169</v>
      </c>
      <c r="B173" s="18"/>
      <c r="C173" s="18"/>
      <c r="D173" s="18"/>
      <c r="E173" s="18"/>
      <c r="F173" s="18"/>
      <c r="G173" s="18"/>
      <c r="H173" s="18"/>
    </row>
    <row r="175" spans="1:8" ht="24" customHeight="1" x14ac:dyDescent="0.25">
      <c r="A175" s="39" t="s">
        <v>170</v>
      </c>
      <c r="B175" s="18"/>
      <c r="C175" s="18"/>
      <c r="D175" s="18"/>
      <c r="E175" s="18"/>
      <c r="F175" s="18"/>
      <c r="G175" s="18"/>
      <c r="H175" s="18"/>
    </row>
    <row r="176" spans="1:8" ht="19.5" customHeight="1" x14ac:dyDescent="0.25">
      <c r="A176" s="36" t="s">
        <v>55</v>
      </c>
      <c r="B176" s="18"/>
      <c r="C176" s="17" t="s">
        <v>171</v>
      </c>
      <c r="D176" s="18"/>
      <c r="E176" s="18"/>
      <c r="F176" s="18"/>
      <c r="G176" s="18"/>
      <c r="H176" s="18"/>
    </row>
    <row r="177" spans="1:8" ht="48.6" customHeight="1" x14ac:dyDescent="0.25">
      <c r="A177" s="36" t="s">
        <v>57</v>
      </c>
      <c r="B177" s="18"/>
      <c r="C177" s="17" t="s">
        <v>172</v>
      </c>
      <c r="D177" s="18"/>
      <c r="E177" s="18"/>
      <c r="F177" s="18"/>
      <c r="G177" s="18"/>
      <c r="H177" s="18"/>
    </row>
    <row r="178" spans="1:8" ht="48.6" customHeight="1" x14ac:dyDescent="0.25">
      <c r="A178" s="36" t="s">
        <v>59</v>
      </c>
      <c r="B178" s="18"/>
      <c r="C178" s="17" t="s">
        <v>173</v>
      </c>
      <c r="D178" s="18"/>
      <c r="E178" s="18"/>
      <c r="F178" s="18"/>
      <c r="G178" s="18"/>
      <c r="H178" s="18"/>
    </row>
    <row r="179" spans="1:8" ht="19.5" customHeight="1" x14ac:dyDescent="0.25">
      <c r="C179" s="41" t="s">
        <v>174</v>
      </c>
      <c r="D179" s="20"/>
      <c r="E179" s="20"/>
      <c r="F179" s="20"/>
      <c r="G179" s="20"/>
      <c r="H179" s="21"/>
    </row>
    <row r="180" spans="1:8" ht="150.19999999999999" customHeight="1" x14ac:dyDescent="0.25">
      <c r="C180" s="17" t="s">
        <v>175</v>
      </c>
      <c r="D180" s="18"/>
      <c r="E180" s="18"/>
      <c r="F180" s="18"/>
      <c r="G180" s="18"/>
      <c r="H180" s="18"/>
    </row>
    <row r="181" spans="1:8" ht="48.6" customHeight="1" x14ac:dyDescent="0.25">
      <c r="A181" s="36" t="s">
        <v>64</v>
      </c>
      <c r="B181" s="18"/>
      <c r="C181" s="17" t="s">
        <v>176</v>
      </c>
      <c r="D181" s="18"/>
      <c r="E181" s="18"/>
      <c r="F181" s="18"/>
      <c r="G181" s="18"/>
      <c r="H181" s="18"/>
    </row>
    <row r="182" spans="1:8" ht="106.7" customHeight="1" x14ac:dyDescent="0.25">
      <c r="A182" s="36" t="s">
        <v>66</v>
      </c>
      <c r="B182" s="18"/>
      <c r="C182" s="17" t="s">
        <v>177</v>
      </c>
      <c r="D182" s="18"/>
      <c r="E182" s="18"/>
      <c r="F182" s="18"/>
      <c r="G182" s="18"/>
      <c r="H182" s="18"/>
    </row>
    <row r="183" spans="1:8" ht="48.6" customHeight="1" x14ac:dyDescent="0.25">
      <c r="A183" s="36" t="s">
        <v>68</v>
      </c>
      <c r="B183" s="18"/>
      <c r="C183" s="17" t="s">
        <v>178</v>
      </c>
      <c r="D183" s="18"/>
      <c r="E183" s="18"/>
      <c r="F183" s="18"/>
      <c r="G183" s="18"/>
      <c r="H183" s="18"/>
    </row>
    <row r="184" spans="1:8" ht="8.1" customHeight="1" x14ac:dyDescent="0.25"/>
    <row r="185" spans="1:8" ht="3.95" customHeight="1" x14ac:dyDescent="0.25">
      <c r="A185" s="9"/>
      <c r="B185" s="9"/>
      <c r="C185" s="9"/>
      <c r="D185" s="9"/>
      <c r="E185" s="9"/>
      <c r="F185" s="9"/>
      <c r="G185" s="9"/>
      <c r="H185" s="9"/>
    </row>
    <row r="187" spans="1:8" ht="24" customHeight="1" x14ac:dyDescent="0.25">
      <c r="A187" s="39" t="s">
        <v>179</v>
      </c>
      <c r="B187" s="18"/>
      <c r="C187" s="18"/>
      <c r="D187" s="18"/>
      <c r="E187" s="18"/>
      <c r="F187" s="18"/>
      <c r="G187" s="18"/>
      <c r="H187" s="18"/>
    </row>
    <row r="188" spans="1:8" ht="19.5" customHeight="1" x14ac:dyDescent="0.25">
      <c r="A188" s="36" t="s">
        <v>55</v>
      </c>
      <c r="B188" s="18"/>
      <c r="C188" s="17" t="s">
        <v>180</v>
      </c>
      <c r="D188" s="18"/>
      <c r="E188" s="18"/>
      <c r="F188" s="18"/>
      <c r="G188" s="18"/>
      <c r="H188" s="18"/>
    </row>
    <row r="189" spans="1:8" ht="19.5" customHeight="1" x14ac:dyDescent="0.25">
      <c r="A189" s="36" t="s">
        <v>57</v>
      </c>
      <c r="B189" s="18"/>
      <c r="C189" s="17" t="s">
        <v>181</v>
      </c>
      <c r="D189" s="18"/>
      <c r="E189" s="18"/>
      <c r="F189" s="18"/>
      <c r="G189" s="18"/>
      <c r="H189" s="18"/>
    </row>
    <row r="190" spans="1:8" ht="19.5" customHeight="1" x14ac:dyDescent="0.25">
      <c r="A190" s="36" t="s">
        <v>59</v>
      </c>
      <c r="B190" s="18"/>
      <c r="C190" s="17" t="s">
        <v>182</v>
      </c>
      <c r="D190" s="18"/>
      <c r="E190" s="18"/>
      <c r="F190" s="18"/>
      <c r="G190" s="18"/>
      <c r="H190" s="18"/>
    </row>
    <row r="191" spans="1:8" ht="77.650000000000006" customHeight="1" x14ac:dyDescent="0.25">
      <c r="A191" s="36" t="s">
        <v>82</v>
      </c>
      <c r="B191" s="18"/>
      <c r="C191" s="17" t="s">
        <v>183</v>
      </c>
      <c r="D191" s="18"/>
      <c r="E191" s="18"/>
      <c r="F191" s="18"/>
      <c r="G191" s="18"/>
      <c r="H191" s="18"/>
    </row>
    <row r="192" spans="1:8" ht="20.100000000000001" customHeight="1" x14ac:dyDescent="0.25">
      <c r="C192" s="36" t="s">
        <v>61</v>
      </c>
      <c r="D192" s="18"/>
      <c r="E192" s="18"/>
      <c r="F192" s="18"/>
      <c r="G192" s="40">
        <f>Calculations!$B$50</f>
        <v>24500</v>
      </c>
      <c r="H192" s="21"/>
    </row>
    <row r="193" spans="1:8" ht="20.100000000000001" customHeight="1" x14ac:dyDescent="0.25">
      <c r="C193" s="17" t="s">
        <v>62</v>
      </c>
      <c r="D193" s="18"/>
      <c r="E193" s="18"/>
      <c r="F193" s="18"/>
      <c r="G193" s="38">
        <f>Calculations!$B$51</f>
        <v>21875</v>
      </c>
      <c r="H193" s="21"/>
    </row>
    <row r="194" spans="1:8" ht="40.700000000000003" customHeight="1" x14ac:dyDescent="0.25">
      <c r="C194" s="33" t="s">
        <v>184</v>
      </c>
      <c r="D194" s="18"/>
      <c r="E194" s="18"/>
      <c r="F194" s="18"/>
      <c r="G194" s="18"/>
      <c r="H194" s="18"/>
    </row>
    <row r="195" spans="1:8" ht="19.5" customHeight="1" x14ac:dyDescent="0.25">
      <c r="C195" s="41" t="s">
        <v>63</v>
      </c>
      <c r="D195" s="20"/>
      <c r="E195" s="20"/>
      <c r="F195" s="20"/>
      <c r="G195" s="20"/>
      <c r="H195" s="21"/>
    </row>
    <row r="196" spans="1:8" ht="19.5" customHeight="1" x14ac:dyDescent="0.25">
      <c r="A196" s="36" t="s">
        <v>64</v>
      </c>
      <c r="B196" s="18"/>
      <c r="C196" s="17" t="s">
        <v>185</v>
      </c>
      <c r="D196" s="18"/>
      <c r="E196" s="18"/>
      <c r="F196" s="18"/>
      <c r="G196" s="18"/>
      <c r="H196" s="18"/>
    </row>
    <row r="197" spans="1:8" ht="63" customHeight="1" x14ac:dyDescent="0.25">
      <c r="A197" s="36" t="s">
        <v>66</v>
      </c>
      <c r="B197" s="18"/>
      <c r="C197" s="17" t="s">
        <v>186</v>
      </c>
      <c r="D197" s="18"/>
      <c r="E197" s="18"/>
      <c r="F197" s="18"/>
      <c r="G197" s="18"/>
      <c r="H197" s="18"/>
    </row>
    <row r="198" spans="1:8" ht="63" customHeight="1" x14ac:dyDescent="0.25">
      <c r="A198" s="36" t="s">
        <v>68</v>
      </c>
      <c r="B198" s="18"/>
      <c r="C198" s="17" t="s">
        <v>187</v>
      </c>
      <c r="D198" s="18"/>
      <c r="E198" s="18"/>
      <c r="F198" s="18"/>
      <c r="G198" s="18"/>
      <c r="H198" s="18"/>
    </row>
    <row r="199" spans="1:8" ht="8.1" customHeight="1" x14ac:dyDescent="0.25"/>
    <row r="200" spans="1:8" ht="3.95" customHeight="1" x14ac:dyDescent="0.25">
      <c r="A200" s="9"/>
      <c r="B200" s="9"/>
      <c r="C200" s="9"/>
      <c r="D200" s="9"/>
      <c r="E200" s="9"/>
      <c r="F200" s="9"/>
      <c r="G200" s="9"/>
      <c r="H200" s="9"/>
    </row>
    <row r="202" spans="1:8" ht="24" customHeight="1" x14ac:dyDescent="0.25">
      <c r="A202" s="39" t="s">
        <v>188</v>
      </c>
      <c r="B202" s="18"/>
      <c r="C202" s="18"/>
      <c r="D202" s="18"/>
      <c r="E202" s="18"/>
      <c r="F202" s="18"/>
      <c r="G202" s="18"/>
      <c r="H202" s="18"/>
    </row>
    <row r="203" spans="1:8" ht="19.5" customHeight="1" x14ac:dyDescent="0.25">
      <c r="A203" s="36" t="s">
        <v>55</v>
      </c>
      <c r="B203" s="18"/>
      <c r="C203" s="17" t="s">
        <v>189</v>
      </c>
      <c r="D203" s="18"/>
      <c r="E203" s="18"/>
      <c r="F203" s="18"/>
      <c r="G203" s="18"/>
      <c r="H203" s="18"/>
    </row>
    <row r="204" spans="1:8" ht="48.6" customHeight="1" x14ac:dyDescent="0.25">
      <c r="A204" s="36" t="s">
        <v>57</v>
      </c>
      <c r="B204" s="18"/>
      <c r="C204" s="17" t="s">
        <v>190</v>
      </c>
      <c r="D204" s="18"/>
      <c r="E204" s="18"/>
      <c r="F204" s="18"/>
      <c r="G204" s="18"/>
      <c r="H204" s="18"/>
    </row>
    <row r="205" spans="1:8" ht="63" customHeight="1" x14ac:dyDescent="0.25">
      <c r="A205" s="36" t="s">
        <v>59</v>
      </c>
      <c r="B205" s="18"/>
      <c r="C205" s="17" t="s">
        <v>191</v>
      </c>
      <c r="D205" s="18"/>
      <c r="E205" s="18"/>
      <c r="F205" s="18"/>
      <c r="G205" s="18"/>
      <c r="H205" s="18"/>
    </row>
    <row r="206" spans="1:8" ht="48.6" customHeight="1" x14ac:dyDescent="0.25">
      <c r="A206" s="36" t="s">
        <v>82</v>
      </c>
      <c r="B206" s="18"/>
      <c r="C206" s="17" t="s">
        <v>192</v>
      </c>
      <c r="D206" s="18"/>
      <c r="E206" s="18"/>
      <c r="F206" s="18"/>
      <c r="G206" s="18"/>
      <c r="H206" s="18"/>
    </row>
    <row r="207" spans="1:8" ht="20.100000000000001" customHeight="1" x14ac:dyDescent="0.25">
      <c r="C207" s="36" t="s">
        <v>61</v>
      </c>
      <c r="D207" s="18"/>
      <c r="E207" s="18"/>
      <c r="F207" s="18"/>
      <c r="G207" s="40">
        <f>Calculations!$B$54</f>
        <v>25288</v>
      </c>
      <c r="H207" s="21"/>
    </row>
    <row r="208" spans="1:8" ht="20.100000000000001" customHeight="1" x14ac:dyDescent="0.25">
      <c r="C208" s="17" t="s">
        <v>62</v>
      </c>
      <c r="D208" s="18"/>
      <c r="E208" s="18"/>
      <c r="F208" s="18"/>
      <c r="G208" s="38">
        <f>Calculations!$B$55</f>
        <v>20230</v>
      </c>
      <c r="H208" s="21"/>
    </row>
    <row r="209" spans="1:8" ht="19.5" customHeight="1" x14ac:dyDescent="0.25">
      <c r="C209" s="41" t="s">
        <v>63</v>
      </c>
      <c r="D209" s="20"/>
      <c r="E209" s="20"/>
      <c r="F209" s="20"/>
      <c r="G209" s="20"/>
      <c r="H209" s="21"/>
    </row>
    <row r="210" spans="1:8" ht="33.950000000000003" customHeight="1" x14ac:dyDescent="0.25">
      <c r="A210" s="36" t="s">
        <v>64</v>
      </c>
      <c r="B210" s="18"/>
      <c r="C210" s="17" t="s">
        <v>193</v>
      </c>
      <c r="D210" s="18"/>
      <c r="E210" s="18"/>
      <c r="F210" s="18"/>
      <c r="G210" s="18"/>
      <c r="H210" s="18"/>
    </row>
    <row r="211" spans="1:8" ht="48.6" customHeight="1" x14ac:dyDescent="0.25">
      <c r="A211" s="36" t="s">
        <v>66</v>
      </c>
      <c r="B211" s="18"/>
      <c r="C211" s="17" t="s">
        <v>194</v>
      </c>
      <c r="D211" s="18"/>
      <c r="E211" s="18"/>
      <c r="F211" s="18"/>
      <c r="G211" s="18"/>
      <c r="H211" s="18"/>
    </row>
    <row r="212" spans="1:8" ht="48.6" customHeight="1" x14ac:dyDescent="0.25">
      <c r="A212" s="36" t="s">
        <v>68</v>
      </c>
      <c r="B212" s="18"/>
      <c r="C212" s="17" t="s">
        <v>195</v>
      </c>
      <c r="D212" s="18"/>
      <c r="E212" s="18"/>
      <c r="F212" s="18"/>
      <c r="G212" s="18"/>
      <c r="H212" s="18"/>
    </row>
    <row r="213" spans="1:8" ht="8.1" customHeight="1" x14ac:dyDescent="0.25"/>
    <row r="214" spans="1:8" ht="3.95" customHeight="1" x14ac:dyDescent="0.25">
      <c r="A214" s="9"/>
      <c r="B214" s="9"/>
      <c r="C214" s="9"/>
      <c r="D214" s="9"/>
      <c r="E214" s="9"/>
      <c r="F214" s="9"/>
      <c r="G214" s="9"/>
      <c r="H214" s="9"/>
    </row>
    <row r="216" spans="1:8" ht="22.15" customHeight="1" x14ac:dyDescent="0.25">
      <c r="A216" s="24" t="s">
        <v>44</v>
      </c>
      <c r="B216" s="18"/>
      <c r="C216" s="18"/>
      <c r="D216" s="18"/>
      <c r="E216" s="18"/>
      <c r="F216" s="18"/>
      <c r="G216" s="18"/>
      <c r="H216" s="18"/>
    </row>
    <row r="217" spans="1:8" ht="63" customHeight="1" x14ac:dyDescent="0.25">
      <c r="A217" s="37" t="s">
        <v>45</v>
      </c>
      <c r="B217" s="20"/>
      <c r="C217" s="20"/>
      <c r="D217" s="20"/>
      <c r="E217" s="20"/>
      <c r="F217" s="20"/>
      <c r="G217" s="20"/>
      <c r="H217" s="21"/>
    </row>
    <row r="218" spans="1:8" ht="21.95" customHeight="1" x14ac:dyDescent="0.25">
      <c r="A218" s="35" t="s">
        <v>46</v>
      </c>
      <c r="B218" s="20"/>
      <c r="C218" s="20"/>
      <c r="D218" s="21"/>
      <c r="E218" s="33" t="s">
        <v>47</v>
      </c>
      <c r="F218" s="18"/>
      <c r="G218" s="18"/>
      <c r="H218" s="18"/>
    </row>
  </sheetData>
  <sheetProtection sheet="1"/>
  <mergeCells count="290">
    <mergeCell ref="C206:H206"/>
    <mergeCell ref="A127:B127"/>
    <mergeCell ref="A176:B176"/>
    <mergeCell ref="C23:F23"/>
    <mergeCell ref="G5:H5"/>
    <mergeCell ref="A160:B160"/>
    <mergeCell ref="G207:H207"/>
    <mergeCell ref="A135:B135"/>
    <mergeCell ref="A122:B122"/>
    <mergeCell ref="C77:H77"/>
    <mergeCell ref="A97:B97"/>
    <mergeCell ref="C195:H195"/>
    <mergeCell ref="C33:H33"/>
    <mergeCell ref="C204:H204"/>
    <mergeCell ref="A20:B20"/>
    <mergeCell ref="G109:H109"/>
    <mergeCell ref="A134:B134"/>
    <mergeCell ref="A112:B112"/>
    <mergeCell ref="A43:H43"/>
    <mergeCell ref="A152:B152"/>
    <mergeCell ref="A121:B121"/>
    <mergeCell ref="C126:H126"/>
    <mergeCell ref="A161:B161"/>
    <mergeCell ref="C197:H197"/>
    <mergeCell ref="G150:H150"/>
    <mergeCell ref="A44:B44"/>
    <mergeCell ref="A39:B39"/>
    <mergeCell ref="C63:H63"/>
    <mergeCell ref="A216:H216"/>
    <mergeCell ref="A6:B6"/>
    <mergeCell ref="C21:H21"/>
    <mergeCell ref="C51:H51"/>
    <mergeCell ref="C178:H178"/>
    <mergeCell ref="A25:B25"/>
    <mergeCell ref="C49:F49"/>
    <mergeCell ref="A196:B196"/>
    <mergeCell ref="C70:H70"/>
    <mergeCell ref="C194:H194"/>
    <mergeCell ref="A84:B84"/>
    <mergeCell ref="C106:H106"/>
    <mergeCell ref="A189:B189"/>
    <mergeCell ref="A89:H89"/>
    <mergeCell ref="A198:B198"/>
    <mergeCell ref="C91:H91"/>
    <mergeCell ref="C209:H209"/>
    <mergeCell ref="A12:H12"/>
    <mergeCell ref="C35:F35"/>
    <mergeCell ref="G124:H124"/>
    <mergeCell ref="A47:B47"/>
    <mergeCell ref="C140:H140"/>
    <mergeCell ref="A5:B5"/>
    <mergeCell ref="G80:H80"/>
    <mergeCell ref="A32:B32"/>
    <mergeCell ref="G95:H95"/>
    <mergeCell ref="C111:H111"/>
    <mergeCell ref="C94:F94"/>
    <mergeCell ref="C109:F109"/>
    <mergeCell ref="C34:H34"/>
    <mergeCell ref="A106:B106"/>
    <mergeCell ref="A8:H8"/>
    <mergeCell ref="C68:H68"/>
    <mergeCell ref="E13:H13"/>
    <mergeCell ref="C22:F22"/>
    <mergeCell ref="A38:B38"/>
    <mergeCell ref="C80:F80"/>
    <mergeCell ref="A96:B96"/>
    <mergeCell ref="C45:H45"/>
    <mergeCell ref="C97:H97"/>
    <mergeCell ref="C95:F95"/>
    <mergeCell ref="C20:H20"/>
    <mergeCell ref="A102:H102"/>
    <mergeCell ref="A9:H9"/>
    <mergeCell ref="C65:H65"/>
    <mergeCell ref="C47:H47"/>
    <mergeCell ref="A217:H217"/>
    <mergeCell ref="A120:B120"/>
    <mergeCell ref="C82:H82"/>
    <mergeCell ref="C165:H165"/>
    <mergeCell ref="A21:B21"/>
    <mergeCell ref="E6:F6"/>
    <mergeCell ref="A104:B104"/>
    <mergeCell ref="C155:H155"/>
    <mergeCell ref="C189:H189"/>
    <mergeCell ref="C53:H53"/>
    <mergeCell ref="C179:H179"/>
    <mergeCell ref="C166:H166"/>
    <mergeCell ref="C193:F193"/>
    <mergeCell ref="A147:B147"/>
    <mergeCell ref="C160:H160"/>
    <mergeCell ref="C128:H128"/>
    <mergeCell ref="G164:H164"/>
    <mergeCell ref="A117:H117"/>
    <mergeCell ref="A173:H173"/>
    <mergeCell ref="A211:B211"/>
    <mergeCell ref="C112:H112"/>
    <mergeCell ref="C205:H205"/>
    <mergeCell ref="C152:H152"/>
    <mergeCell ref="C48:F48"/>
    <mergeCell ref="C203:H203"/>
    <mergeCell ref="C181:H181"/>
    <mergeCell ref="A133:B133"/>
    <mergeCell ref="C151:F151"/>
    <mergeCell ref="C108:F108"/>
    <mergeCell ref="A197:B197"/>
    <mergeCell ref="A166:B166"/>
    <mergeCell ref="C177:H177"/>
    <mergeCell ref="C146:H146"/>
    <mergeCell ref="C190:H190"/>
    <mergeCell ref="A190:B190"/>
    <mergeCell ref="A111:B111"/>
    <mergeCell ref="G193:H193"/>
    <mergeCell ref="G149:H149"/>
    <mergeCell ref="A167:B167"/>
    <mergeCell ref="C121:H121"/>
    <mergeCell ref="C134:H134"/>
    <mergeCell ref="A191:B191"/>
    <mergeCell ref="C196:H196"/>
    <mergeCell ref="A148:B148"/>
    <mergeCell ref="C176:H176"/>
    <mergeCell ref="A138:B138"/>
    <mergeCell ref="A110:B110"/>
    <mergeCell ref="A146:B146"/>
    <mergeCell ref="C211:H211"/>
    <mergeCell ref="C90:H90"/>
    <mergeCell ref="A61:H61"/>
    <mergeCell ref="C66:F66"/>
    <mergeCell ref="A69:B69"/>
    <mergeCell ref="C139:H139"/>
    <mergeCell ref="C148:H148"/>
    <mergeCell ref="A168:B168"/>
    <mergeCell ref="A78:B78"/>
    <mergeCell ref="C188:H188"/>
    <mergeCell ref="C71:H71"/>
    <mergeCell ref="A205:B205"/>
    <mergeCell ref="A183:B183"/>
    <mergeCell ref="A65:B65"/>
    <mergeCell ref="C138:H138"/>
    <mergeCell ref="A93:B93"/>
    <mergeCell ref="C64:H64"/>
    <mergeCell ref="C147:H147"/>
    <mergeCell ref="C162:H162"/>
    <mergeCell ref="C123:F123"/>
    <mergeCell ref="A77:B77"/>
    <mergeCell ref="A83:B83"/>
    <mergeCell ref="A92:B92"/>
    <mergeCell ref="C137:H137"/>
    <mergeCell ref="A210:B210"/>
    <mergeCell ref="A71:B71"/>
    <mergeCell ref="A2:H2"/>
    <mergeCell ref="C37:H37"/>
    <mergeCell ref="A218:D218"/>
    <mergeCell ref="C69:H69"/>
    <mergeCell ref="A203:B203"/>
    <mergeCell ref="C96:H96"/>
    <mergeCell ref="C83:H83"/>
    <mergeCell ref="A181:B181"/>
    <mergeCell ref="G192:H192"/>
    <mergeCell ref="C92:H92"/>
    <mergeCell ref="A91:B91"/>
    <mergeCell ref="G35:H35"/>
    <mergeCell ref="C124:F124"/>
    <mergeCell ref="C62:H62"/>
    <mergeCell ref="A144:H144"/>
    <mergeCell ref="A52:B52"/>
    <mergeCell ref="C98:H98"/>
    <mergeCell ref="C191:H191"/>
    <mergeCell ref="C192:F192"/>
    <mergeCell ref="A63:B63"/>
    <mergeCell ref="A155:B155"/>
    <mergeCell ref="C5:D5"/>
    <mergeCell ref="E5:F5"/>
    <mergeCell ref="G67:H67"/>
    <mergeCell ref="C149:F149"/>
    <mergeCell ref="C67:F67"/>
    <mergeCell ref="C105:H105"/>
    <mergeCell ref="G151:H151"/>
    <mergeCell ref="A79:B79"/>
    <mergeCell ref="G48:H48"/>
    <mergeCell ref="C36:H36"/>
    <mergeCell ref="A128:B128"/>
    <mergeCell ref="A16:H16"/>
    <mergeCell ref="A37:B37"/>
    <mergeCell ref="A46:B46"/>
    <mergeCell ref="C135:H135"/>
    <mergeCell ref="A136:B136"/>
    <mergeCell ref="C122:H122"/>
    <mergeCell ref="A105:B105"/>
    <mergeCell ref="A145:B145"/>
    <mergeCell ref="G49:H49"/>
    <mergeCell ref="A18:H18"/>
    <mergeCell ref="A26:B26"/>
    <mergeCell ref="A19:B19"/>
    <mergeCell ref="G94:H94"/>
    <mergeCell ref="C79:H79"/>
    <mergeCell ref="A177:B177"/>
    <mergeCell ref="A139:B139"/>
    <mergeCell ref="C19:H19"/>
    <mergeCell ref="C183:H183"/>
    <mergeCell ref="C180:H180"/>
    <mergeCell ref="C25:H25"/>
    <mergeCell ref="C103:H103"/>
    <mergeCell ref="G81:H81"/>
    <mergeCell ref="C85:H85"/>
    <mergeCell ref="A82:B82"/>
    <mergeCell ref="C44:H44"/>
    <mergeCell ref="C84:H84"/>
    <mergeCell ref="G107:H107"/>
    <mergeCell ref="C27:H27"/>
    <mergeCell ref="C76:H76"/>
    <mergeCell ref="C120:H120"/>
    <mergeCell ref="C110:H110"/>
    <mergeCell ref="A34:B34"/>
    <mergeCell ref="C54:H54"/>
    <mergeCell ref="A59:H59"/>
    <mergeCell ref="A45:B45"/>
    <mergeCell ref="A103:B103"/>
    <mergeCell ref="C26:H26"/>
    <mergeCell ref="G22:H22"/>
    <mergeCell ref="A3:H3"/>
    <mergeCell ref="C38:H38"/>
    <mergeCell ref="C125:H125"/>
    <mergeCell ref="C161:H161"/>
    <mergeCell ref="A76:B76"/>
    <mergeCell ref="A33:B33"/>
    <mergeCell ref="G108:H108"/>
    <mergeCell ref="A204:B204"/>
    <mergeCell ref="A85:B85"/>
    <mergeCell ref="C78:H78"/>
    <mergeCell ref="C136:H136"/>
    <mergeCell ref="A175:H175"/>
    <mergeCell ref="C145:H145"/>
    <mergeCell ref="G123:H123"/>
    <mergeCell ref="A188:B188"/>
    <mergeCell ref="C154:H154"/>
    <mergeCell ref="A126:B126"/>
    <mergeCell ref="A140:B140"/>
    <mergeCell ref="A53:B53"/>
    <mergeCell ref="A159:H159"/>
    <mergeCell ref="C164:F164"/>
    <mergeCell ref="A62:B62"/>
    <mergeCell ref="C24:H24"/>
    <mergeCell ref="C104:H104"/>
    <mergeCell ref="G208:H208"/>
    <mergeCell ref="A178:B178"/>
    <mergeCell ref="C133:H133"/>
    <mergeCell ref="E218:H218"/>
    <mergeCell ref="C127:H127"/>
    <mergeCell ref="C167:H167"/>
    <mergeCell ref="C198:H198"/>
    <mergeCell ref="A132:H132"/>
    <mergeCell ref="C208:F208"/>
    <mergeCell ref="A162:B162"/>
    <mergeCell ref="C182:H182"/>
    <mergeCell ref="A212:B212"/>
    <mergeCell ref="C153:H153"/>
    <mergeCell ref="A154:B154"/>
    <mergeCell ref="A163:B163"/>
    <mergeCell ref="C210:H210"/>
    <mergeCell ref="A206:B206"/>
    <mergeCell ref="A202:H202"/>
    <mergeCell ref="C207:F207"/>
    <mergeCell ref="C212:H212"/>
    <mergeCell ref="A182:B182"/>
    <mergeCell ref="C163:H163"/>
    <mergeCell ref="A153:B153"/>
    <mergeCell ref="A187:H187"/>
    <mergeCell ref="C6:D6"/>
    <mergeCell ref="A64:B64"/>
    <mergeCell ref="C150:F150"/>
    <mergeCell ref="C168:H168"/>
    <mergeCell ref="A98:B98"/>
    <mergeCell ref="G23:H23"/>
    <mergeCell ref="C81:F81"/>
    <mergeCell ref="A70:B70"/>
    <mergeCell ref="A13:D13"/>
    <mergeCell ref="A119:H119"/>
    <mergeCell ref="C46:H46"/>
    <mergeCell ref="A54:B54"/>
    <mergeCell ref="A90:B90"/>
    <mergeCell ref="C52:H52"/>
    <mergeCell ref="C39:H39"/>
    <mergeCell ref="G66:H66"/>
    <mergeCell ref="A75:H75"/>
    <mergeCell ref="A27:B27"/>
    <mergeCell ref="C107:F107"/>
    <mergeCell ref="C32:H32"/>
    <mergeCell ref="C93:H93"/>
    <mergeCell ref="C50:H50"/>
    <mergeCell ref="A11:H11"/>
    <mergeCell ref="A31:H31"/>
  </mergeCells>
  <hyperlinks>
    <hyperlink ref="A5" location="'Start Here'!A1" display="Start Here" xr:uid="{00000000-0004-0000-0300-000000000000}"/>
    <hyperlink ref="C5" location="'Your Profile'!A1" display="Your Profile" xr:uid="{00000000-0004-0000-0300-000001000000}"/>
    <hyperlink ref="E5" location="'Your Five Opportunities'!A1" display="Your Five Opportunities" xr:uid="{00000000-0004-0000-0300-000002000000}"/>
    <hyperlink ref="A6" location="'How These Numbers Work'!A1" display="How These Numbers Work" xr:uid="{00000000-0004-0000-0300-000003000000}"/>
    <hyperlink ref="C6" location="'Sources &amp; Notes'!A1" display="Sources &amp; Notes" xr:uid="{00000000-0004-0000-0300-000004000000}"/>
    <hyperlink ref="E6" location="'Help &amp; Disclosures'!A1" display="Help &amp; Disclosures" xr:uid="{00000000-0004-0000-0300-000005000000}"/>
    <hyperlink ref="A13" r:id="rId1" xr:uid="{00000000-0004-0000-0300-000006000000}"/>
    <hyperlink ref="A218" r:id="rId2" xr:uid="{00000000-0004-0000-0300-000007000000}"/>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C172D"/>
  </sheetPr>
  <dimension ref="A1:H24"/>
  <sheetViews>
    <sheetView showGridLines="0" workbookViewId="0">
      <pane ySplit="8" topLeftCell="A9" activePane="bottomLeft" state="frozen"/>
      <selection pane="bottomLeft" activeCell="N105" sqref="N104:N105"/>
    </sheetView>
  </sheetViews>
  <sheetFormatPr defaultRowHeight="15" x14ac:dyDescent="0.25"/>
  <cols>
    <col min="1" max="1" width="24" customWidth="1"/>
    <col min="2" max="4" width="20" customWidth="1"/>
    <col min="5" max="8" width="18" customWidth="1"/>
  </cols>
  <sheetData>
    <row r="1" spans="1:8" ht="25.5" x14ac:dyDescent="0.35">
      <c r="A1" s="1" t="s">
        <v>7</v>
      </c>
    </row>
    <row r="2" spans="1:8" ht="30" customHeight="1" x14ac:dyDescent="0.25">
      <c r="A2" s="27" t="s">
        <v>196</v>
      </c>
      <c r="B2" s="18"/>
      <c r="C2" s="18"/>
      <c r="D2" s="18"/>
      <c r="E2" s="18"/>
      <c r="F2" s="18"/>
      <c r="G2" s="18"/>
      <c r="H2" s="18"/>
    </row>
    <row r="3" spans="1:8" ht="16.899999999999999" customHeight="1" x14ac:dyDescent="0.25">
      <c r="A3" s="25" t="s">
        <v>2</v>
      </c>
      <c r="B3" s="26"/>
      <c r="C3" s="26"/>
      <c r="D3" s="26"/>
      <c r="E3" s="26"/>
      <c r="F3" s="26"/>
      <c r="G3" s="26"/>
      <c r="H3" s="26"/>
    </row>
    <row r="5" spans="1:8" ht="18" customHeight="1" x14ac:dyDescent="0.25">
      <c r="A5" s="23" t="s">
        <v>3</v>
      </c>
      <c r="B5" s="18"/>
      <c r="C5" s="23" t="s">
        <v>4</v>
      </c>
      <c r="D5" s="18"/>
      <c r="E5" s="23" t="s">
        <v>5</v>
      </c>
      <c r="F5" s="18"/>
      <c r="G5" s="23" t="s">
        <v>6</v>
      </c>
      <c r="H5" s="18"/>
    </row>
    <row r="6" spans="1:8" ht="18" customHeight="1" x14ac:dyDescent="0.25">
      <c r="A6" s="28" t="s">
        <v>7</v>
      </c>
      <c r="B6" s="18"/>
      <c r="C6" s="23" t="s">
        <v>8</v>
      </c>
      <c r="D6" s="18"/>
      <c r="E6" s="23" t="s">
        <v>9</v>
      </c>
      <c r="F6" s="18"/>
    </row>
    <row r="8" spans="1:8" ht="22.15" customHeight="1" x14ac:dyDescent="0.25">
      <c r="A8" s="24" t="s">
        <v>197</v>
      </c>
      <c r="B8" s="18"/>
      <c r="C8" s="18"/>
      <c r="D8" s="18"/>
      <c r="E8" s="18"/>
      <c r="F8" s="18"/>
      <c r="G8" s="18"/>
      <c r="H8" s="18"/>
    </row>
    <row r="9" spans="1:8" ht="36" customHeight="1" x14ac:dyDescent="0.25">
      <c r="A9" s="17" t="s">
        <v>198</v>
      </c>
      <c r="B9" s="18"/>
      <c r="C9" s="18"/>
      <c r="D9" s="18"/>
      <c r="E9" s="18"/>
      <c r="F9" s="18"/>
      <c r="G9" s="18"/>
      <c r="H9" s="18"/>
    </row>
    <row r="11" spans="1:8" ht="22.15" customHeight="1" x14ac:dyDescent="0.25">
      <c r="A11" s="24" t="s">
        <v>199</v>
      </c>
      <c r="B11" s="18"/>
      <c r="C11" s="18"/>
      <c r="D11" s="18"/>
      <c r="E11" s="18"/>
      <c r="F11" s="18"/>
      <c r="G11" s="18"/>
      <c r="H11" s="18"/>
    </row>
    <row r="12" spans="1:8" ht="106.7" customHeight="1" x14ac:dyDescent="0.25">
      <c r="A12" s="17" t="s">
        <v>200</v>
      </c>
      <c r="B12" s="18"/>
      <c r="C12" s="18"/>
      <c r="D12" s="18"/>
      <c r="E12" s="18"/>
      <c r="F12" s="18"/>
      <c r="G12" s="18"/>
      <c r="H12" s="18"/>
    </row>
    <row r="14" spans="1:8" ht="22.15" customHeight="1" x14ac:dyDescent="0.25">
      <c r="A14" s="24" t="s">
        <v>201</v>
      </c>
      <c r="B14" s="18"/>
      <c r="C14" s="18"/>
      <c r="D14" s="18"/>
      <c r="E14" s="18"/>
      <c r="F14" s="18"/>
      <c r="G14" s="18"/>
      <c r="H14" s="18"/>
    </row>
    <row r="15" spans="1:8" ht="135.6" customHeight="1" x14ac:dyDescent="0.25">
      <c r="A15" s="17" t="s">
        <v>202</v>
      </c>
      <c r="B15" s="18"/>
      <c r="C15" s="18"/>
      <c r="D15" s="18"/>
      <c r="E15" s="18"/>
      <c r="F15" s="18"/>
      <c r="G15" s="18"/>
      <c r="H15" s="18"/>
    </row>
    <row r="16" spans="1:8" ht="24" customHeight="1" x14ac:dyDescent="0.25">
      <c r="A16" s="17" t="s">
        <v>203</v>
      </c>
      <c r="B16" s="18"/>
      <c r="C16" s="18"/>
      <c r="D16" s="18"/>
      <c r="E16" s="18"/>
      <c r="F16" s="18"/>
      <c r="G16" s="10">
        <v>403500</v>
      </c>
    </row>
    <row r="17" spans="1:8" ht="24" customHeight="1" x14ac:dyDescent="0.25">
      <c r="A17" s="17" t="s">
        <v>204</v>
      </c>
      <c r="B17" s="18"/>
      <c r="C17" s="18"/>
      <c r="D17" s="18"/>
      <c r="E17" s="18"/>
      <c r="F17" s="18"/>
      <c r="G17" s="10">
        <v>553500</v>
      </c>
    </row>
    <row r="18" spans="1:8" ht="48.6" customHeight="1" x14ac:dyDescent="0.25">
      <c r="A18" s="17" t="s">
        <v>205</v>
      </c>
      <c r="B18" s="18"/>
      <c r="C18" s="18"/>
      <c r="D18" s="18"/>
      <c r="E18" s="18"/>
      <c r="F18" s="18"/>
      <c r="G18" s="18"/>
      <c r="H18" s="18"/>
    </row>
    <row r="20" spans="1:8" ht="22.15" customHeight="1" x14ac:dyDescent="0.25">
      <c r="A20" s="24" t="s">
        <v>206</v>
      </c>
      <c r="B20" s="18"/>
      <c r="C20" s="18"/>
      <c r="D20" s="18"/>
      <c r="E20" s="18"/>
      <c r="F20" s="18"/>
      <c r="G20" s="18"/>
      <c r="H20" s="18"/>
    </row>
    <row r="21" spans="1:8" ht="27.95" customHeight="1" x14ac:dyDescent="0.25">
      <c r="A21" s="17" t="s">
        <v>207</v>
      </c>
      <c r="B21" s="18"/>
      <c r="C21" s="18"/>
      <c r="D21" s="18"/>
      <c r="E21" s="18"/>
      <c r="F21" s="18"/>
      <c r="G21" s="18"/>
      <c r="H21" s="18"/>
    </row>
    <row r="22" spans="1:8" ht="27.95" customHeight="1" x14ac:dyDescent="0.25">
      <c r="A22" s="17" t="s">
        <v>208</v>
      </c>
      <c r="B22" s="18"/>
      <c r="C22" s="18"/>
      <c r="D22" s="18"/>
      <c r="E22" s="18"/>
      <c r="F22" s="18"/>
      <c r="G22" s="18"/>
      <c r="H22" s="18"/>
    </row>
    <row r="23" spans="1:8" ht="48.6" customHeight="1" x14ac:dyDescent="0.25">
      <c r="A23" s="17" t="s">
        <v>209</v>
      </c>
      <c r="B23" s="18"/>
      <c r="C23" s="18"/>
      <c r="D23" s="18"/>
      <c r="E23" s="18"/>
      <c r="F23" s="18"/>
      <c r="G23" s="18"/>
      <c r="H23" s="18"/>
    </row>
    <row r="24" spans="1:8" ht="27.95" customHeight="1" x14ac:dyDescent="0.25">
      <c r="A24" s="17" t="s">
        <v>210</v>
      </c>
      <c r="B24" s="18"/>
      <c r="C24" s="18"/>
      <c r="D24" s="18"/>
      <c r="E24" s="18"/>
      <c r="F24" s="18"/>
      <c r="G24" s="18"/>
      <c r="H24" s="18"/>
    </row>
  </sheetData>
  <sheetProtection sheet="1"/>
  <mergeCells count="23">
    <mergeCell ref="A3:H3"/>
    <mergeCell ref="E6:F6"/>
    <mergeCell ref="A21:H21"/>
    <mergeCell ref="A2:H2"/>
    <mergeCell ref="A5:B5"/>
    <mergeCell ref="G5:H5"/>
    <mergeCell ref="A14:H14"/>
    <mergeCell ref="A8:H8"/>
    <mergeCell ref="A20:H20"/>
    <mergeCell ref="C5:D5"/>
    <mergeCell ref="E5:F5"/>
    <mergeCell ref="A11:H11"/>
    <mergeCell ref="A6:B6"/>
    <mergeCell ref="A17:F17"/>
    <mergeCell ref="A12:H12"/>
    <mergeCell ref="A9:H9"/>
    <mergeCell ref="A16:F16"/>
    <mergeCell ref="C6:D6"/>
    <mergeCell ref="A15:H15"/>
    <mergeCell ref="A24:H24"/>
    <mergeCell ref="A18:H18"/>
    <mergeCell ref="A23:H23"/>
    <mergeCell ref="A22:H22"/>
  </mergeCells>
  <hyperlinks>
    <hyperlink ref="A5" location="'Start Here'!A1" display="Start Here" xr:uid="{00000000-0004-0000-0400-000000000000}"/>
    <hyperlink ref="C5" location="'Your Profile'!A1" display="Your Profile" xr:uid="{00000000-0004-0000-0400-000001000000}"/>
    <hyperlink ref="E5" location="'Your Five Opportunities'!A1" display="Your Five Opportunities" xr:uid="{00000000-0004-0000-0400-000002000000}"/>
    <hyperlink ref="G5" location="'Strategy Library'!A1" display="Strategy Library" xr:uid="{00000000-0004-0000-0400-000003000000}"/>
    <hyperlink ref="C6" location="'Sources &amp; Notes'!A1" display="Sources &amp; Notes" xr:uid="{00000000-0004-0000-0400-000004000000}"/>
    <hyperlink ref="E6" location="'Help &amp; Disclosures'!A1" display="Help &amp; Disclosures" xr:uid="{00000000-0004-0000-0400-000005000000}"/>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C172D"/>
  </sheetPr>
  <dimension ref="A1:H98"/>
  <sheetViews>
    <sheetView showGridLines="0" workbookViewId="0">
      <pane ySplit="8" topLeftCell="A9" activePane="bottomLeft" state="frozen"/>
      <selection pane="bottomLeft" activeCell="P123" sqref="P123"/>
    </sheetView>
  </sheetViews>
  <sheetFormatPr defaultRowHeight="15" x14ac:dyDescent="0.25"/>
  <cols>
    <col min="1" max="1" width="30" customWidth="1"/>
    <col min="2" max="2" width="26" customWidth="1"/>
    <col min="3" max="3" width="22" customWidth="1"/>
    <col min="4" max="5" width="15" customWidth="1"/>
    <col min="6" max="6" width="22" customWidth="1"/>
    <col min="7" max="7" width="18" customWidth="1"/>
    <col min="8" max="8" width="14" customWidth="1"/>
  </cols>
  <sheetData>
    <row r="1" spans="1:8" ht="25.5" x14ac:dyDescent="0.35">
      <c r="A1" s="1" t="s">
        <v>8</v>
      </c>
    </row>
    <row r="2" spans="1:8" ht="30" customHeight="1" x14ac:dyDescent="0.25">
      <c r="A2" s="27" t="s">
        <v>211</v>
      </c>
      <c r="B2" s="18"/>
      <c r="C2" s="18"/>
      <c r="D2" s="18"/>
      <c r="E2" s="18"/>
      <c r="F2" s="18"/>
      <c r="G2" s="18"/>
      <c r="H2" s="18"/>
    </row>
    <row r="3" spans="1:8" ht="16.899999999999999" customHeight="1" x14ac:dyDescent="0.25">
      <c r="A3" s="25" t="s">
        <v>2</v>
      </c>
      <c r="B3" s="26"/>
      <c r="C3" s="26"/>
      <c r="D3" s="26"/>
      <c r="E3" s="26"/>
      <c r="F3" s="26"/>
      <c r="G3" s="26"/>
      <c r="H3" s="26"/>
    </row>
    <row r="5" spans="1:8" ht="18" customHeight="1" x14ac:dyDescent="0.25">
      <c r="A5" s="23" t="s">
        <v>3</v>
      </c>
      <c r="B5" s="18"/>
      <c r="C5" s="23" t="s">
        <v>4</v>
      </c>
      <c r="D5" s="18"/>
      <c r="E5" s="23" t="s">
        <v>5</v>
      </c>
      <c r="F5" s="18"/>
      <c r="G5" s="23" t="s">
        <v>6</v>
      </c>
      <c r="H5" s="18"/>
    </row>
    <row r="6" spans="1:8" ht="18" customHeight="1" x14ac:dyDescent="0.25">
      <c r="A6" s="23" t="s">
        <v>7</v>
      </c>
      <c r="B6" s="18"/>
      <c r="C6" s="28" t="s">
        <v>8</v>
      </c>
      <c r="D6" s="18"/>
      <c r="E6" s="23" t="s">
        <v>9</v>
      </c>
      <c r="F6" s="18"/>
    </row>
    <row r="8" spans="1:8" ht="33.950000000000003" customHeight="1" x14ac:dyDescent="0.25">
      <c r="A8" s="17" t="s">
        <v>212</v>
      </c>
      <c r="B8" s="18"/>
      <c r="C8" s="18"/>
      <c r="D8" s="18"/>
      <c r="E8" s="18"/>
      <c r="F8" s="18"/>
      <c r="G8" s="18"/>
      <c r="H8" s="18"/>
    </row>
    <row r="10" spans="1:8" ht="22.15" customHeight="1" x14ac:dyDescent="0.25">
      <c r="A10" s="24" t="s">
        <v>213</v>
      </c>
      <c r="B10" s="18"/>
      <c r="C10" s="18"/>
      <c r="D10" s="18"/>
      <c r="E10" s="18"/>
      <c r="F10" s="18"/>
      <c r="G10" s="18"/>
      <c r="H10" s="18"/>
    </row>
    <row r="11" spans="1:8" ht="21.95" customHeight="1" x14ac:dyDescent="0.25">
      <c r="A11" s="22" t="s">
        <v>214</v>
      </c>
      <c r="B11" s="20"/>
      <c r="C11" s="21"/>
      <c r="D11" s="22" t="s">
        <v>215</v>
      </c>
      <c r="E11" s="21"/>
      <c r="F11" s="22" t="s">
        <v>216</v>
      </c>
      <c r="G11" s="20"/>
      <c r="H11" s="21"/>
    </row>
    <row r="12" spans="1:8" ht="20.100000000000001" customHeight="1" x14ac:dyDescent="0.25">
      <c r="A12" s="36" t="s">
        <v>217</v>
      </c>
      <c r="B12" s="18"/>
      <c r="C12" s="18"/>
      <c r="D12" s="17" t="s">
        <v>218</v>
      </c>
      <c r="E12" s="18"/>
      <c r="F12" s="23" t="s">
        <v>219</v>
      </c>
      <c r="G12" s="18"/>
      <c r="H12" s="18"/>
    </row>
    <row r="13" spans="1:8" ht="18" customHeight="1" x14ac:dyDescent="0.25">
      <c r="B13" s="33" t="s">
        <v>220</v>
      </c>
      <c r="C13" s="18"/>
      <c r="D13" s="18"/>
      <c r="E13" s="18"/>
      <c r="F13" s="18"/>
      <c r="G13" s="18"/>
      <c r="H13" s="18"/>
    </row>
    <row r="14" spans="1:8" ht="33.950000000000003" customHeight="1" x14ac:dyDescent="0.25">
      <c r="A14" s="36" t="s">
        <v>221</v>
      </c>
      <c r="B14" s="18"/>
      <c r="C14" s="18"/>
      <c r="D14" s="17" t="s">
        <v>222</v>
      </c>
      <c r="E14" s="18"/>
      <c r="F14" s="23" t="s">
        <v>219</v>
      </c>
      <c r="G14" s="18"/>
      <c r="H14" s="18"/>
    </row>
    <row r="15" spans="1:8" ht="18" customHeight="1" x14ac:dyDescent="0.25">
      <c r="B15" s="33" t="s">
        <v>223</v>
      </c>
      <c r="C15" s="18"/>
      <c r="D15" s="18"/>
      <c r="E15" s="18"/>
      <c r="F15" s="18"/>
      <c r="G15" s="18"/>
      <c r="H15" s="18"/>
    </row>
    <row r="16" spans="1:8" ht="33.950000000000003" customHeight="1" x14ac:dyDescent="0.25">
      <c r="A16" s="36" t="s">
        <v>224</v>
      </c>
      <c r="B16" s="18"/>
      <c r="C16" s="18"/>
      <c r="D16" s="17" t="s">
        <v>225</v>
      </c>
      <c r="E16" s="18"/>
      <c r="F16" s="23" t="s">
        <v>226</v>
      </c>
      <c r="G16" s="18"/>
      <c r="H16" s="18"/>
    </row>
    <row r="17" spans="1:8" ht="18" customHeight="1" x14ac:dyDescent="0.25">
      <c r="B17" s="33" t="s">
        <v>227</v>
      </c>
      <c r="C17" s="18"/>
      <c r="D17" s="18"/>
      <c r="E17" s="18"/>
      <c r="F17" s="18"/>
      <c r="G17" s="18"/>
      <c r="H17" s="18"/>
    </row>
    <row r="18" spans="1:8" ht="20.100000000000001" customHeight="1" x14ac:dyDescent="0.25">
      <c r="A18" s="36" t="s">
        <v>228</v>
      </c>
      <c r="B18" s="18"/>
      <c r="C18" s="18"/>
      <c r="D18" s="17" t="s">
        <v>229</v>
      </c>
      <c r="E18" s="18"/>
      <c r="F18" s="23" t="s">
        <v>226</v>
      </c>
      <c r="G18" s="18"/>
      <c r="H18" s="18"/>
    </row>
    <row r="19" spans="1:8" ht="18" customHeight="1" x14ac:dyDescent="0.25">
      <c r="B19" s="33" t="s">
        <v>230</v>
      </c>
      <c r="C19" s="18"/>
      <c r="D19" s="18"/>
      <c r="E19" s="18"/>
      <c r="F19" s="18"/>
      <c r="G19" s="18"/>
      <c r="H19" s="18"/>
    </row>
    <row r="20" spans="1:8" ht="20.100000000000001" customHeight="1" x14ac:dyDescent="0.25">
      <c r="A20" s="36" t="s">
        <v>231</v>
      </c>
      <c r="B20" s="18"/>
      <c r="C20" s="18"/>
      <c r="D20" s="17" t="s">
        <v>225</v>
      </c>
      <c r="E20" s="18"/>
      <c r="F20" s="23" t="s">
        <v>226</v>
      </c>
      <c r="G20" s="18"/>
      <c r="H20" s="18"/>
    </row>
    <row r="21" spans="1:8" ht="18" customHeight="1" x14ac:dyDescent="0.25">
      <c r="B21" s="33" t="s">
        <v>232</v>
      </c>
      <c r="C21" s="18"/>
      <c r="D21" s="18"/>
      <c r="E21" s="18"/>
      <c r="F21" s="18"/>
      <c r="G21" s="18"/>
      <c r="H21" s="18"/>
    </row>
    <row r="22" spans="1:8" ht="20.100000000000001" customHeight="1" x14ac:dyDescent="0.25">
      <c r="A22" s="36" t="s">
        <v>233</v>
      </c>
      <c r="B22" s="18"/>
      <c r="C22" s="18"/>
      <c r="D22" s="17" t="s">
        <v>234</v>
      </c>
      <c r="E22" s="18"/>
      <c r="F22" s="23" t="s">
        <v>226</v>
      </c>
      <c r="G22" s="18"/>
      <c r="H22" s="18"/>
    </row>
    <row r="23" spans="1:8" ht="18" customHeight="1" x14ac:dyDescent="0.25">
      <c r="B23" s="33" t="s">
        <v>235</v>
      </c>
      <c r="C23" s="18"/>
      <c r="D23" s="18"/>
      <c r="E23" s="18"/>
      <c r="F23" s="18"/>
      <c r="G23" s="18"/>
      <c r="H23" s="18"/>
    </row>
    <row r="24" spans="1:8" ht="20.100000000000001" customHeight="1" x14ac:dyDescent="0.25">
      <c r="A24" s="36" t="s">
        <v>236</v>
      </c>
      <c r="B24" s="18"/>
      <c r="C24" s="18"/>
      <c r="D24" s="17" t="s">
        <v>237</v>
      </c>
      <c r="E24" s="18"/>
      <c r="F24" s="23" t="s">
        <v>238</v>
      </c>
      <c r="G24" s="18"/>
      <c r="H24" s="18"/>
    </row>
    <row r="25" spans="1:8" ht="18" customHeight="1" x14ac:dyDescent="0.25">
      <c r="B25" s="33" t="s">
        <v>239</v>
      </c>
      <c r="C25" s="18"/>
      <c r="D25" s="18"/>
      <c r="E25" s="18"/>
      <c r="F25" s="18"/>
      <c r="G25" s="18"/>
      <c r="H25" s="18"/>
    </row>
    <row r="26" spans="1:8" ht="20.100000000000001" customHeight="1" x14ac:dyDescent="0.25">
      <c r="A26" s="36" t="s">
        <v>240</v>
      </c>
      <c r="B26" s="18"/>
      <c r="C26" s="18"/>
      <c r="D26" s="17" t="s">
        <v>241</v>
      </c>
      <c r="E26" s="18"/>
      <c r="F26" s="23" t="s">
        <v>226</v>
      </c>
      <c r="G26" s="18"/>
      <c r="H26" s="18"/>
    </row>
    <row r="27" spans="1:8" ht="18" customHeight="1" x14ac:dyDescent="0.25">
      <c r="B27" s="33" t="s">
        <v>242</v>
      </c>
      <c r="C27" s="18"/>
      <c r="D27" s="18"/>
      <c r="E27" s="18"/>
      <c r="F27" s="18"/>
      <c r="G27" s="18"/>
      <c r="H27" s="18"/>
    </row>
    <row r="28" spans="1:8" ht="20.100000000000001" customHeight="1" x14ac:dyDescent="0.25">
      <c r="A28" s="36" t="s">
        <v>243</v>
      </c>
      <c r="B28" s="18"/>
      <c r="C28" s="18"/>
      <c r="D28" s="17" t="s">
        <v>244</v>
      </c>
      <c r="E28" s="18"/>
      <c r="F28" s="23" t="s">
        <v>226</v>
      </c>
      <c r="G28" s="18"/>
      <c r="H28" s="18"/>
    </row>
    <row r="29" spans="1:8" ht="18" customHeight="1" x14ac:dyDescent="0.25">
      <c r="B29" s="33" t="s">
        <v>245</v>
      </c>
      <c r="C29" s="18"/>
      <c r="D29" s="18"/>
      <c r="E29" s="18"/>
      <c r="F29" s="18"/>
      <c r="G29" s="18"/>
      <c r="H29" s="18"/>
    </row>
    <row r="30" spans="1:8" ht="20.100000000000001" customHeight="1" x14ac:dyDescent="0.25">
      <c r="A30" s="36" t="s">
        <v>246</v>
      </c>
      <c r="B30" s="18"/>
      <c r="C30" s="18"/>
      <c r="D30" s="17" t="s">
        <v>218</v>
      </c>
      <c r="E30" s="18"/>
      <c r="F30" s="23" t="s">
        <v>226</v>
      </c>
      <c r="G30" s="18"/>
      <c r="H30" s="18"/>
    </row>
    <row r="31" spans="1:8" ht="18" customHeight="1" x14ac:dyDescent="0.25">
      <c r="B31" s="33" t="s">
        <v>247</v>
      </c>
      <c r="C31" s="18"/>
      <c r="D31" s="18"/>
      <c r="E31" s="18"/>
      <c r="F31" s="18"/>
      <c r="G31" s="18"/>
      <c r="H31" s="18"/>
    </row>
    <row r="32" spans="1:8" ht="20.100000000000001" customHeight="1" x14ac:dyDescent="0.25">
      <c r="A32" s="36" t="s">
        <v>248</v>
      </c>
      <c r="B32" s="18"/>
      <c r="C32" s="18"/>
      <c r="D32" s="17" t="s">
        <v>249</v>
      </c>
      <c r="E32" s="18"/>
      <c r="F32" s="23" t="s">
        <v>226</v>
      </c>
      <c r="G32" s="18"/>
      <c r="H32" s="18"/>
    </row>
    <row r="33" spans="1:8" ht="18" customHeight="1" x14ac:dyDescent="0.25">
      <c r="B33" s="33" t="s">
        <v>250</v>
      </c>
      <c r="C33" s="18"/>
      <c r="D33" s="18"/>
      <c r="E33" s="18"/>
      <c r="F33" s="18"/>
      <c r="G33" s="18"/>
      <c r="H33" s="18"/>
    </row>
    <row r="34" spans="1:8" ht="20.100000000000001" customHeight="1" x14ac:dyDescent="0.25">
      <c r="A34" s="36" t="s">
        <v>251</v>
      </c>
      <c r="B34" s="18"/>
      <c r="C34" s="18"/>
      <c r="D34" s="17" t="s">
        <v>252</v>
      </c>
      <c r="E34" s="18"/>
      <c r="F34" s="23" t="s">
        <v>238</v>
      </c>
      <c r="G34" s="18"/>
      <c r="H34" s="18"/>
    </row>
    <row r="35" spans="1:8" ht="18" customHeight="1" x14ac:dyDescent="0.25">
      <c r="B35" s="33" t="s">
        <v>253</v>
      </c>
      <c r="C35" s="18"/>
      <c r="D35" s="18"/>
      <c r="E35" s="18"/>
      <c r="F35" s="18"/>
      <c r="G35" s="18"/>
      <c r="H35" s="18"/>
    </row>
    <row r="36" spans="1:8" ht="20.100000000000001" customHeight="1" x14ac:dyDescent="0.25">
      <c r="A36" s="36" t="s">
        <v>254</v>
      </c>
      <c r="B36" s="18"/>
      <c r="C36" s="18"/>
      <c r="D36" s="17" t="s">
        <v>255</v>
      </c>
      <c r="E36" s="18"/>
      <c r="F36" s="23" t="s">
        <v>226</v>
      </c>
      <c r="G36" s="18"/>
      <c r="H36" s="18"/>
    </row>
    <row r="37" spans="1:8" ht="18" customHeight="1" x14ac:dyDescent="0.25">
      <c r="B37" s="33" t="s">
        <v>256</v>
      </c>
      <c r="C37" s="18"/>
      <c r="D37" s="18"/>
      <c r="E37" s="18"/>
      <c r="F37" s="18"/>
      <c r="G37" s="18"/>
      <c r="H37" s="18"/>
    </row>
    <row r="38" spans="1:8" ht="20.100000000000001" customHeight="1" x14ac:dyDescent="0.25">
      <c r="A38" s="36" t="s">
        <v>257</v>
      </c>
      <c r="B38" s="18"/>
      <c r="C38" s="18"/>
      <c r="D38" s="17" t="s">
        <v>258</v>
      </c>
      <c r="E38" s="18"/>
      <c r="F38" s="23" t="s">
        <v>226</v>
      </c>
      <c r="G38" s="18"/>
      <c r="H38" s="18"/>
    </row>
    <row r="39" spans="1:8" ht="18" customHeight="1" x14ac:dyDescent="0.25">
      <c r="B39" s="33" t="s">
        <v>259</v>
      </c>
      <c r="C39" s="18"/>
      <c r="D39" s="18"/>
      <c r="E39" s="18"/>
      <c r="F39" s="18"/>
      <c r="G39" s="18"/>
      <c r="H39" s="18"/>
    </row>
    <row r="40" spans="1:8" ht="20.100000000000001" customHeight="1" x14ac:dyDescent="0.25">
      <c r="A40" s="36" t="s">
        <v>260</v>
      </c>
      <c r="B40" s="18"/>
      <c r="C40" s="18"/>
      <c r="D40" s="17" t="s">
        <v>261</v>
      </c>
      <c r="E40" s="18"/>
      <c r="F40" s="23" t="s">
        <v>226</v>
      </c>
      <c r="G40" s="18"/>
      <c r="H40" s="18"/>
    </row>
    <row r="41" spans="1:8" ht="18" customHeight="1" x14ac:dyDescent="0.25">
      <c r="B41" s="33" t="s">
        <v>262</v>
      </c>
      <c r="C41" s="18"/>
      <c r="D41" s="18"/>
      <c r="E41" s="18"/>
      <c r="F41" s="18"/>
      <c r="G41" s="18"/>
      <c r="H41" s="18"/>
    </row>
    <row r="42" spans="1:8" ht="20.100000000000001" customHeight="1" x14ac:dyDescent="0.25">
      <c r="A42" s="36" t="s">
        <v>263</v>
      </c>
      <c r="B42" s="18"/>
      <c r="C42" s="18"/>
      <c r="D42" s="17" t="s">
        <v>264</v>
      </c>
      <c r="E42" s="18"/>
      <c r="F42" s="23" t="s">
        <v>226</v>
      </c>
      <c r="G42" s="18"/>
      <c r="H42" s="18"/>
    </row>
    <row r="43" spans="1:8" ht="18" customHeight="1" x14ac:dyDescent="0.25">
      <c r="B43" s="33" t="s">
        <v>265</v>
      </c>
      <c r="C43" s="18"/>
      <c r="D43" s="18"/>
      <c r="E43" s="18"/>
      <c r="F43" s="18"/>
      <c r="G43" s="18"/>
      <c r="H43" s="18"/>
    </row>
    <row r="44" spans="1:8" ht="20.100000000000001" customHeight="1" x14ac:dyDescent="0.25">
      <c r="A44" s="36" t="s">
        <v>266</v>
      </c>
      <c r="B44" s="18"/>
      <c r="C44" s="18"/>
      <c r="D44" s="17" t="s">
        <v>264</v>
      </c>
      <c r="E44" s="18"/>
      <c r="F44" s="23" t="s">
        <v>226</v>
      </c>
      <c r="G44" s="18"/>
      <c r="H44" s="18"/>
    </row>
    <row r="45" spans="1:8" ht="18" customHeight="1" x14ac:dyDescent="0.25">
      <c r="B45" s="33" t="s">
        <v>267</v>
      </c>
      <c r="C45" s="18"/>
      <c r="D45" s="18"/>
      <c r="E45" s="18"/>
      <c r="F45" s="18"/>
      <c r="G45" s="18"/>
      <c r="H45" s="18"/>
    </row>
    <row r="46" spans="1:8" ht="20.100000000000001" customHeight="1" x14ac:dyDescent="0.25">
      <c r="A46" s="36" t="s">
        <v>268</v>
      </c>
      <c r="B46" s="18"/>
      <c r="C46" s="18"/>
      <c r="D46" s="17" t="s">
        <v>269</v>
      </c>
      <c r="E46" s="18"/>
      <c r="F46" s="23" t="s">
        <v>226</v>
      </c>
      <c r="G46" s="18"/>
      <c r="H46" s="18"/>
    </row>
    <row r="47" spans="1:8" ht="18" customHeight="1" x14ac:dyDescent="0.25">
      <c r="B47" s="33" t="s">
        <v>270</v>
      </c>
      <c r="C47" s="18"/>
      <c r="D47" s="18"/>
      <c r="E47" s="18"/>
      <c r="F47" s="18"/>
      <c r="G47" s="18"/>
      <c r="H47" s="18"/>
    </row>
    <row r="48" spans="1:8" ht="20.100000000000001" customHeight="1" x14ac:dyDescent="0.25">
      <c r="A48" s="36" t="s">
        <v>271</v>
      </c>
      <c r="B48" s="18"/>
      <c r="C48" s="18"/>
      <c r="D48" s="17" t="s">
        <v>255</v>
      </c>
      <c r="E48" s="18"/>
      <c r="F48" s="23" t="s">
        <v>226</v>
      </c>
      <c r="G48" s="18"/>
      <c r="H48" s="18"/>
    </row>
    <row r="49" spans="1:8" ht="18" customHeight="1" x14ac:dyDescent="0.25">
      <c r="B49" s="33" t="s">
        <v>272</v>
      </c>
      <c r="C49" s="18"/>
      <c r="D49" s="18"/>
      <c r="E49" s="18"/>
      <c r="F49" s="18"/>
      <c r="G49" s="18"/>
      <c r="H49" s="18"/>
    </row>
    <row r="50" spans="1:8" ht="20.100000000000001" customHeight="1" x14ac:dyDescent="0.25">
      <c r="A50" s="36" t="s">
        <v>273</v>
      </c>
      <c r="B50" s="18"/>
      <c r="C50" s="18"/>
      <c r="D50" s="17" t="s">
        <v>274</v>
      </c>
      <c r="E50" s="18"/>
      <c r="F50" s="23" t="s">
        <v>219</v>
      </c>
      <c r="G50" s="18"/>
      <c r="H50" s="18"/>
    </row>
    <row r="51" spans="1:8" ht="18" customHeight="1" x14ac:dyDescent="0.25">
      <c r="B51" s="33" t="s">
        <v>275</v>
      </c>
      <c r="C51" s="18"/>
      <c r="D51" s="18"/>
      <c r="E51" s="18"/>
      <c r="F51" s="18"/>
      <c r="G51" s="18"/>
      <c r="H51" s="18"/>
    </row>
    <row r="52" spans="1:8" ht="20.100000000000001" customHeight="1" x14ac:dyDescent="0.25">
      <c r="A52" s="36" t="s">
        <v>276</v>
      </c>
      <c r="B52" s="18"/>
      <c r="C52" s="18"/>
      <c r="D52" s="17" t="s">
        <v>264</v>
      </c>
      <c r="E52" s="18"/>
      <c r="F52" s="23" t="s">
        <v>219</v>
      </c>
      <c r="G52" s="18"/>
      <c r="H52" s="18"/>
    </row>
    <row r="53" spans="1:8" ht="18" customHeight="1" x14ac:dyDescent="0.25">
      <c r="B53" s="33" t="s">
        <v>276</v>
      </c>
      <c r="C53" s="18"/>
      <c r="D53" s="18"/>
      <c r="E53" s="18"/>
      <c r="F53" s="18"/>
      <c r="G53" s="18"/>
      <c r="H53" s="18"/>
    </row>
    <row r="54" spans="1:8" ht="20.100000000000001" customHeight="1" x14ac:dyDescent="0.25">
      <c r="A54" s="36" t="s">
        <v>277</v>
      </c>
      <c r="B54" s="18"/>
      <c r="C54" s="18"/>
      <c r="D54" s="17" t="s">
        <v>278</v>
      </c>
      <c r="E54" s="18"/>
      <c r="F54" s="23" t="s">
        <v>219</v>
      </c>
      <c r="G54" s="18"/>
      <c r="H54" s="18"/>
    </row>
    <row r="55" spans="1:8" ht="18" customHeight="1" x14ac:dyDescent="0.25">
      <c r="B55" s="33" t="s">
        <v>279</v>
      </c>
      <c r="C55" s="18"/>
      <c r="D55" s="18"/>
      <c r="E55" s="18"/>
      <c r="F55" s="18"/>
      <c r="G55" s="18"/>
      <c r="H55" s="18"/>
    </row>
    <row r="56" spans="1:8" ht="20.100000000000001" customHeight="1" x14ac:dyDescent="0.25">
      <c r="A56" s="36" t="s">
        <v>280</v>
      </c>
      <c r="B56" s="18"/>
      <c r="C56" s="18"/>
      <c r="D56" s="17" t="s">
        <v>274</v>
      </c>
      <c r="E56" s="18"/>
      <c r="F56" s="23" t="s">
        <v>219</v>
      </c>
      <c r="G56" s="18"/>
      <c r="H56" s="18"/>
    </row>
    <row r="57" spans="1:8" ht="18" customHeight="1" x14ac:dyDescent="0.25">
      <c r="B57" s="33" t="s">
        <v>281</v>
      </c>
      <c r="C57" s="18"/>
      <c r="D57" s="18"/>
      <c r="E57" s="18"/>
      <c r="F57" s="18"/>
      <c r="G57" s="18"/>
      <c r="H57" s="18"/>
    </row>
    <row r="58" spans="1:8" ht="20.100000000000001" customHeight="1" x14ac:dyDescent="0.25">
      <c r="A58" s="36" t="s">
        <v>282</v>
      </c>
      <c r="B58" s="18"/>
      <c r="C58" s="18"/>
      <c r="D58" s="17" t="s">
        <v>222</v>
      </c>
      <c r="E58" s="18"/>
      <c r="F58" s="23" t="s">
        <v>219</v>
      </c>
      <c r="G58" s="18"/>
      <c r="H58" s="18"/>
    </row>
    <row r="59" spans="1:8" ht="18" customHeight="1" x14ac:dyDescent="0.25">
      <c r="B59" s="33" t="s">
        <v>283</v>
      </c>
      <c r="C59" s="18"/>
      <c r="D59" s="18"/>
      <c r="E59" s="18"/>
      <c r="F59" s="18"/>
      <c r="G59" s="18"/>
      <c r="H59" s="18"/>
    </row>
    <row r="60" spans="1:8" ht="20.100000000000001" customHeight="1" x14ac:dyDescent="0.25">
      <c r="A60" s="36" t="s">
        <v>284</v>
      </c>
      <c r="B60" s="18"/>
      <c r="C60" s="18"/>
      <c r="D60" s="17" t="s">
        <v>285</v>
      </c>
      <c r="E60" s="18"/>
      <c r="F60" s="23" t="s">
        <v>219</v>
      </c>
      <c r="G60" s="18"/>
      <c r="H60" s="18"/>
    </row>
    <row r="61" spans="1:8" ht="18" customHeight="1" x14ac:dyDescent="0.25">
      <c r="B61" s="33" t="s">
        <v>286</v>
      </c>
      <c r="C61" s="18"/>
      <c r="D61" s="18"/>
      <c r="E61" s="18"/>
      <c r="F61" s="18"/>
      <c r="G61" s="18"/>
      <c r="H61" s="18"/>
    </row>
    <row r="62" spans="1:8" ht="20.100000000000001" customHeight="1" x14ac:dyDescent="0.25">
      <c r="A62" s="36" t="s">
        <v>287</v>
      </c>
      <c r="B62" s="18"/>
      <c r="C62" s="18"/>
      <c r="D62" s="17" t="s">
        <v>274</v>
      </c>
      <c r="E62" s="18"/>
      <c r="F62" s="23" t="s">
        <v>219</v>
      </c>
      <c r="G62" s="18"/>
      <c r="H62" s="18"/>
    </row>
    <row r="63" spans="1:8" ht="18" customHeight="1" x14ac:dyDescent="0.25">
      <c r="B63" s="33" t="s">
        <v>288</v>
      </c>
      <c r="C63" s="18"/>
      <c r="D63" s="18"/>
      <c r="E63" s="18"/>
      <c r="F63" s="18"/>
      <c r="G63" s="18"/>
      <c r="H63" s="18"/>
    </row>
    <row r="64" spans="1:8" ht="20.100000000000001" customHeight="1" x14ac:dyDescent="0.25">
      <c r="A64" s="36" t="s">
        <v>289</v>
      </c>
      <c r="B64" s="18"/>
      <c r="C64" s="18"/>
      <c r="D64" s="17" t="s">
        <v>290</v>
      </c>
      <c r="E64" s="18"/>
      <c r="F64" s="23" t="s">
        <v>219</v>
      </c>
      <c r="G64" s="18"/>
      <c r="H64" s="18"/>
    </row>
    <row r="65" spans="1:8" ht="18" customHeight="1" x14ac:dyDescent="0.25">
      <c r="B65" s="33" t="s">
        <v>291</v>
      </c>
      <c r="C65" s="18"/>
      <c r="D65" s="18"/>
      <c r="E65" s="18"/>
      <c r="F65" s="18"/>
      <c r="G65" s="18"/>
      <c r="H65" s="18"/>
    </row>
    <row r="66" spans="1:8" ht="20.100000000000001" customHeight="1" x14ac:dyDescent="0.25">
      <c r="A66" s="36" t="s">
        <v>292</v>
      </c>
      <c r="B66" s="18"/>
      <c r="C66" s="18"/>
      <c r="D66" s="17" t="s">
        <v>252</v>
      </c>
      <c r="E66" s="18"/>
      <c r="F66" s="23" t="s">
        <v>293</v>
      </c>
      <c r="G66" s="18"/>
      <c r="H66" s="18"/>
    </row>
    <row r="67" spans="1:8" ht="18" customHeight="1" x14ac:dyDescent="0.25">
      <c r="B67" s="33" t="s">
        <v>294</v>
      </c>
      <c r="C67" s="18"/>
      <c r="D67" s="18"/>
      <c r="E67" s="18"/>
      <c r="F67" s="18"/>
      <c r="G67" s="18"/>
      <c r="H67" s="18"/>
    </row>
    <row r="68" spans="1:8" ht="20.100000000000001" customHeight="1" x14ac:dyDescent="0.25">
      <c r="A68" s="36" t="s">
        <v>295</v>
      </c>
      <c r="B68" s="18"/>
      <c r="C68" s="18"/>
      <c r="D68" s="17" t="s">
        <v>296</v>
      </c>
      <c r="E68" s="18"/>
      <c r="F68" s="23" t="s">
        <v>297</v>
      </c>
      <c r="G68" s="18"/>
      <c r="H68" s="18"/>
    </row>
    <row r="69" spans="1:8" ht="18" customHeight="1" x14ac:dyDescent="0.25">
      <c r="B69" s="33" t="s">
        <v>298</v>
      </c>
      <c r="C69" s="18"/>
      <c r="D69" s="18"/>
      <c r="E69" s="18"/>
      <c r="F69" s="18"/>
      <c r="G69" s="18"/>
      <c r="H69" s="18"/>
    </row>
    <row r="71" spans="1:8" ht="22.15" customHeight="1" x14ac:dyDescent="0.25">
      <c r="A71" s="24" t="s">
        <v>299</v>
      </c>
      <c r="B71" s="18"/>
      <c r="C71" s="18"/>
      <c r="D71" s="18"/>
      <c r="E71" s="18"/>
      <c r="F71" s="18"/>
      <c r="G71" s="18"/>
      <c r="H71" s="18"/>
    </row>
    <row r="72" spans="1:8" ht="18" customHeight="1" x14ac:dyDescent="0.25">
      <c r="A72" s="33" t="s">
        <v>300</v>
      </c>
      <c r="B72" s="18"/>
      <c r="C72" s="18"/>
      <c r="D72" s="18"/>
      <c r="E72" s="18"/>
      <c r="F72" s="18"/>
      <c r="G72" s="18"/>
      <c r="H72" s="18"/>
    </row>
    <row r="73" spans="1:8" ht="21.95" customHeight="1" x14ac:dyDescent="0.25">
      <c r="A73" s="22" t="s">
        <v>301</v>
      </c>
      <c r="B73" s="20"/>
      <c r="C73" s="21"/>
      <c r="D73" s="22" t="s">
        <v>302</v>
      </c>
      <c r="E73" s="21"/>
      <c r="F73" s="22" t="s">
        <v>303</v>
      </c>
      <c r="G73" s="20"/>
      <c r="H73" s="21"/>
    </row>
    <row r="74" spans="1:8" ht="31.35" customHeight="1" x14ac:dyDescent="0.25">
      <c r="A74" s="17" t="s">
        <v>304</v>
      </c>
      <c r="B74" s="18"/>
      <c r="C74" s="18"/>
      <c r="D74" s="38">
        <v>72000</v>
      </c>
      <c r="E74" s="21"/>
      <c r="F74" s="23" t="s">
        <v>305</v>
      </c>
      <c r="G74" s="18"/>
      <c r="H74" s="18"/>
    </row>
    <row r="75" spans="1:8" ht="33.950000000000003" customHeight="1" x14ac:dyDescent="0.25">
      <c r="A75" s="17" t="s">
        <v>306</v>
      </c>
      <c r="B75" s="18"/>
      <c r="C75" s="18"/>
      <c r="D75" s="38">
        <v>360000</v>
      </c>
      <c r="E75" s="21"/>
      <c r="F75" s="23" t="s">
        <v>307</v>
      </c>
      <c r="G75" s="18"/>
      <c r="H75" s="18"/>
    </row>
    <row r="76" spans="1:8" ht="31.35" customHeight="1" x14ac:dyDescent="0.25">
      <c r="A76" s="17" t="s">
        <v>308</v>
      </c>
      <c r="B76" s="18"/>
      <c r="C76" s="18"/>
      <c r="D76" s="46">
        <v>14</v>
      </c>
      <c r="E76" s="21"/>
      <c r="F76" s="23" t="s">
        <v>309</v>
      </c>
      <c r="G76" s="18"/>
      <c r="H76" s="18"/>
    </row>
    <row r="77" spans="1:8" ht="57.75" customHeight="1" x14ac:dyDescent="0.25">
      <c r="A77" s="17" t="s">
        <v>310</v>
      </c>
      <c r="B77" s="18"/>
      <c r="C77" s="18"/>
      <c r="D77" s="46">
        <v>1</v>
      </c>
      <c r="E77" s="21"/>
      <c r="F77" s="23" t="s">
        <v>311</v>
      </c>
      <c r="G77" s="18"/>
      <c r="H77" s="18"/>
    </row>
    <row r="78" spans="1:8" ht="20.100000000000001" customHeight="1" x14ac:dyDescent="0.25">
      <c r="A78" s="17" t="s">
        <v>312</v>
      </c>
      <c r="B78" s="18"/>
      <c r="C78" s="18"/>
      <c r="D78" s="38">
        <v>8000</v>
      </c>
      <c r="E78" s="21"/>
      <c r="F78" s="23" t="s">
        <v>313</v>
      </c>
      <c r="G78" s="18"/>
      <c r="H78" s="18"/>
    </row>
    <row r="79" spans="1:8" ht="44.65" customHeight="1" x14ac:dyDescent="0.25">
      <c r="A79" s="17" t="s">
        <v>314</v>
      </c>
      <c r="B79" s="18"/>
      <c r="C79" s="18"/>
      <c r="D79" s="38">
        <v>24500</v>
      </c>
      <c r="E79" s="21"/>
      <c r="F79" s="23" t="s">
        <v>315</v>
      </c>
      <c r="G79" s="18"/>
      <c r="H79" s="18"/>
    </row>
    <row r="80" spans="1:8" ht="44.65" customHeight="1" x14ac:dyDescent="0.25">
      <c r="A80" s="17" t="s">
        <v>316</v>
      </c>
      <c r="B80" s="18"/>
      <c r="C80" s="18"/>
      <c r="D80" s="38">
        <v>1000</v>
      </c>
      <c r="E80" s="21"/>
      <c r="F80" s="23" t="s">
        <v>317</v>
      </c>
      <c r="G80" s="18"/>
      <c r="H80" s="18"/>
    </row>
    <row r="81" spans="1:8" ht="33.950000000000003" customHeight="1" x14ac:dyDescent="0.25">
      <c r="A81" s="17" t="s">
        <v>318</v>
      </c>
      <c r="B81" s="18"/>
      <c r="C81" s="18"/>
      <c r="D81" s="38">
        <v>8750</v>
      </c>
      <c r="E81" s="21"/>
      <c r="F81" s="23" t="s">
        <v>319</v>
      </c>
      <c r="G81" s="18"/>
      <c r="H81" s="18"/>
    </row>
    <row r="82" spans="1:8" ht="44.65" customHeight="1" x14ac:dyDescent="0.25">
      <c r="A82" s="17" t="s">
        <v>320</v>
      </c>
      <c r="B82" s="18"/>
      <c r="C82" s="18"/>
      <c r="D82" s="46">
        <v>0.32</v>
      </c>
      <c r="E82" s="21"/>
      <c r="F82" s="23" t="s">
        <v>321</v>
      </c>
      <c r="G82" s="18"/>
      <c r="H82" s="18"/>
    </row>
    <row r="83" spans="1:8" ht="44.65" customHeight="1" x14ac:dyDescent="0.25">
      <c r="A83" s="17" t="s">
        <v>322</v>
      </c>
      <c r="B83" s="18"/>
      <c r="C83" s="18"/>
      <c r="D83" s="46">
        <v>0.72499999999999998</v>
      </c>
      <c r="E83" s="21"/>
      <c r="F83" s="23" t="s">
        <v>323</v>
      </c>
      <c r="G83" s="18"/>
      <c r="H83" s="18"/>
    </row>
    <row r="84" spans="1:8" ht="44.65" customHeight="1" x14ac:dyDescent="0.25">
      <c r="A84" s="17" t="s">
        <v>324</v>
      </c>
      <c r="B84" s="18"/>
      <c r="C84" s="18"/>
      <c r="D84" s="46">
        <v>0.76</v>
      </c>
      <c r="E84" s="21"/>
      <c r="F84" s="23" t="s">
        <v>325</v>
      </c>
      <c r="G84" s="18"/>
      <c r="H84" s="18"/>
    </row>
    <row r="85" spans="1:8" ht="20.100000000000001" customHeight="1" x14ac:dyDescent="0.25">
      <c r="A85" s="17" t="s">
        <v>326</v>
      </c>
      <c r="B85" s="18"/>
      <c r="C85" s="18"/>
      <c r="D85" s="38">
        <v>553500</v>
      </c>
      <c r="E85" s="21"/>
      <c r="F85" s="23" t="s">
        <v>327</v>
      </c>
      <c r="G85" s="18"/>
      <c r="H85" s="18"/>
    </row>
    <row r="86" spans="1:8" ht="31.35" customHeight="1" x14ac:dyDescent="0.25">
      <c r="A86" s="17" t="s">
        <v>328</v>
      </c>
      <c r="B86" s="18"/>
      <c r="C86" s="18"/>
      <c r="D86" s="38">
        <v>403500</v>
      </c>
      <c r="E86" s="21"/>
      <c r="F86" s="23" t="s">
        <v>329</v>
      </c>
      <c r="G86" s="18"/>
      <c r="H86" s="18"/>
    </row>
    <row r="87" spans="1:8" ht="31.35" customHeight="1" x14ac:dyDescent="0.25">
      <c r="A87" s="17" t="s">
        <v>330</v>
      </c>
      <c r="B87" s="18"/>
      <c r="C87" s="18"/>
      <c r="D87" s="38">
        <v>150000</v>
      </c>
      <c r="E87" s="21"/>
      <c r="F87" s="23" t="s">
        <v>331</v>
      </c>
      <c r="G87" s="18"/>
      <c r="H87" s="18"/>
    </row>
    <row r="88" spans="1:8" ht="31.35" customHeight="1" x14ac:dyDescent="0.25">
      <c r="A88" s="17" t="s">
        <v>332</v>
      </c>
      <c r="B88" s="18"/>
      <c r="C88" s="18"/>
      <c r="D88" s="38">
        <v>2560000</v>
      </c>
      <c r="E88" s="21"/>
      <c r="F88" s="23" t="s">
        <v>333</v>
      </c>
      <c r="G88" s="18"/>
      <c r="H88" s="18"/>
    </row>
    <row r="89" spans="1:8" ht="31.35" customHeight="1" x14ac:dyDescent="0.25">
      <c r="A89" s="17" t="s">
        <v>334</v>
      </c>
      <c r="B89" s="18"/>
      <c r="C89" s="18"/>
      <c r="D89" s="38">
        <v>16100</v>
      </c>
      <c r="E89" s="21"/>
      <c r="F89" s="23" t="s">
        <v>335</v>
      </c>
      <c r="G89" s="18"/>
      <c r="H89" s="18"/>
    </row>
    <row r="91" spans="1:8" ht="22.15" customHeight="1" x14ac:dyDescent="0.25">
      <c r="A91" s="24" t="s">
        <v>336</v>
      </c>
      <c r="B91" s="18"/>
      <c r="C91" s="18"/>
      <c r="D91" s="18"/>
      <c r="E91" s="18"/>
      <c r="F91" s="18"/>
      <c r="G91" s="18"/>
      <c r="H91" s="18"/>
    </row>
    <row r="92" spans="1:8" ht="18" customHeight="1" x14ac:dyDescent="0.25">
      <c r="A92" s="33" t="s">
        <v>337</v>
      </c>
      <c r="B92" s="18"/>
      <c r="C92" s="18"/>
      <c r="D92" s="18"/>
      <c r="E92" s="18"/>
      <c r="F92" s="18"/>
      <c r="G92" s="18"/>
      <c r="H92" s="18"/>
    </row>
    <row r="93" spans="1:8" ht="21.95" customHeight="1" x14ac:dyDescent="0.25">
      <c r="A93" s="22" t="s">
        <v>338</v>
      </c>
      <c r="B93" s="20"/>
      <c r="C93" s="20"/>
      <c r="D93" s="20"/>
      <c r="E93" s="21"/>
      <c r="F93" s="22" t="s">
        <v>216</v>
      </c>
      <c r="G93" s="20"/>
      <c r="H93" s="21"/>
    </row>
    <row r="94" spans="1:8" ht="20.100000000000001" customHeight="1" x14ac:dyDescent="0.25">
      <c r="A94" s="17" t="s">
        <v>339</v>
      </c>
      <c r="B94" s="18"/>
      <c r="C94" s="18"/>
      <c r="D94" s="18"/>
      <c r="E94" s="18"/>
      <c r="F94" s="23" t="s">
        <v>340</v>
      </c>
      <c r="G94" s="18"/>
      <c r="H94" s="18"/>
    </row>
    <row r="95" spans="1:8" ht="57.75" customHeight="1" x14ac:dyDescent="0.25">
      <c r="A95" s="17" t="s">
        <v>341</v>
      </c>
      <c r="B95" s="18"/>
      <c r="C95" s="18"/>
      <c r="D95" s="18"/>
      <c r="E95" s="18"/>
      <c r="F95" s="23" t="s">
        <v>342</v>
      </c>
      <c r="G95" s="18"/>
      <c r="H95" s="18"/>
    </row>
    <row r="96" spans="1:8" ht="57.75" customHeight="1" x14ac:dyDescent="0.25">
      <c r="A96" s="17" t="s">
        <v>343</v>
      </c>
      <c r="B96" s="18"/>
      <c r="C96" s="18"/>
      <c r="D96" s="18"/>
      <c r="E96" s="18"/>
      <c r="F96" s="23" t="s">
        <v>344</v>
      </c>
      <c r="G96" s="18"/>
      <c r="H96" s="18"/>
    </row>
    <row r="98" spans="1:8" ht="18" customHeight="1" x14ac:dyDescent="0.25">
      <c r="A98" s="33" t="s">
        <v>345</v>
      </c>
      <c r="B98" s="18"/>
      <c r="C98" s="18"/>
      <c r="D98" s="18"/>
      <c r="E98" s="18"/>
      <c r="F98" s="18"/>
      <c r="G98" s="18"/>
      <c r="H98" s="18"/>
    </row>
  </sheetData>
  <sheetProtection sheet="1"/>
  <mergeCells count="194">
    <mergeCell ref="F96:H96"/>
    <mergeCell ref="F48:H48"/>
    <mergeCell ref="D16:E16"/>
    <mergeCell ref="A68:C68"/>
    <mergeCell ref="D87:E87"/>
    <mergeCell ref="G5:H5"/>
    <mergeCell ref="F73:H73"/>
    <mergeCell ref="F88:H88"/>
    <mergeCell ref="D18:E18"/>
    <mergeCell ref="D58:E58"/>
    <mergeCell ref="A48:C48"/>
    <mergeCell ref="B67:H67"/>
    <mergeCell ref="B61:H61"/>
    <mergeCell ref="F54:H54"/>
    <mergeCell ref="D74:E74"/>
    <mergeCell ref="A36:C36"/>
    <mergeCell ref="A11:C11"/>
    <mergeCell ref="D68:E68"/>
    <mergeCell ref="D42:E42"/>
    <mergeCell ref="A91:H91"/>
    <mergeCell ref="D82:E82"/>
    <mergeCell ref="B69:H69"/>
    <mergeCell ref="F74:H74"/>
    <mergeCell ref="A78:C78"/>
    <mergeCell ref="F94:H94"/>
    <mergeCell ref="B65:H65"/>
    <mergeCell ref="A74:C74"/>
    <mergeCell ref="A56:C56"/>
    <mergeCell ref="F75:H75"/>
    <mergeCell ref="D46:E46"/>
    <mergeCell ref="D40:E40"/>
    <mergeCell ref="F62:H62"/>
    <mergeCell ref="D80:E80"/>
    <mergeCell ref="B63:H63"/>
    <mergeCell ref="A76:C76"/>
    <mergeCell ref="F46:H46"/>
    <mergeCell ref="A85:C85"/>
    <mergeCell ref="A87:C87"/>
    <mergeCell ref="F56:H56"/>
    <mergeCell ref="D50:E50"/>
    <mergeCell ref="D44:E44"/>
    <mergeCell ref="F84:H84"/>
    <mergeCell ref="A88:C88"/>
    <mergeCell ref="F93:H93"/>
    <mergeCell ref="F85:H85"/>
    <mergeCell ref="A89:C89"/>
    <mergeCell ref="D84:E84"/>
    <mergeCell ref="A94:E94"/>
    <mergeCell ref="A92:H92"/>
    <mergeCell ref="F42:H42"/>
    <mergeCell ref="F80:H80"/>
    <mergeCell ref="F28:H28"/>
    <mergeCell ref="D32:E32"/>
    <mergeCell ref="D66:E66"/>
    <mergeCell ref="F77:H77"/>
    <mergeCell ref="A38:C38"/>
    <mergeCell ref="D75:E75"/>
    <mergeCell ref="A81:C81"/>
    <mergeCell ref="A44:C44"/>
    <mergeCell ref="D56:E56"/>
    <mergeCell ref="A77:C77"/>
    <mergeCell ref="F78:H78"/>
    <mergeCell ref="D64:E64"/>
    <mergeCell ref="B53:H53"/>
    <mergeCell ref="D73:E73"/>
    <mergeCell ref="A98:H98"/>
    <mergeCell ref="A50:C50"/>
    <mergeCell ref="B45:H45"/>
    <mergeCell ref="A86:C86"/>
    <mergeCell ref="F81:H81"/>
    <mergeCell ref="F38:H38"/>
    <mergeCell ref="A42:C42"/>
    <mergeCell ref="D52:E52"/>
    <mergeCell ref="A22:C22"/>
    <mergeCell ref="B47:H47"/>
    <mergeCell ref="F58:H58"/>
    <mergeCell ref="A62:C62"/>
    <mergeCell ref="F52:H52"/>
    <mergeCell ref="B59:H59"/>
    <mergeCell ref="B31:H31"/>
    <mergeCell ref="A28:C28"/>
    <mergeCell ref="F82:H82"/>
    <mergeCell ref="F60:H60"/>
    <mergeCell ref="A71:H71"/>
    <mergeCell ref="B39:H39"/>
    <mergeCell ref="D28:E28"/>
    <mergeCell ref="A30:C30"/>
    <mergeCell ref="F44:H44"/>
    <mergeCell ref="B23:H23"/>
    <mergeCell ref="A96:E96"/>
    <mergeCell ref="B57:H57"/>
    <mergeCell ref="F83:H83"/>
    <mergeCell ref="A72:H72"/>
    <mergeCell ref="D38:E38"/>
    <mergeCell ref="F40:H40"/>
    <mergeCell ref="D89:E89"/>
    <mergeCell ref="B19:H19"/>
    <mergeCell ref="D79:E79"/>
    <mergeCell ref="F86:H86"/>
    <mergeCell ref="F24:H24"/>
    <mergeCell ref="F95:H95"/>
    <mergeCell ref="A84:C84"/>
    <mergeCell ref="F79:H79"/>
    <mergeCell ref="F32:H32"/>
    <mergeCell ref="D81:E81"/>
    <mergeCell ref="F26:H26"/>
    <mergeCell ref="A20:C20"/>
    <mergeCell ref="B21:H21"/>
    <mergeCell ref="F34:H34"/>
    <mergeCell ref="A64:C64"/>
    <mergeCell ref="D83:E83"/>
    <mergeCell ref="F68:H68"/>
    <mergeCell ref="D30:E30"/>
    <mergeCell ref="A95:E95"/>
    <mergeCell ref="A2:H2"/>
    <mergeCell ref="B43:H43"/>
    <mergeCell ref="A58:C58"/>
    <mergeCell ref="A40:C40"/>
    <mergeCell ref="F11:H11"/>
    <mergeCell ref="A24:C24"/>
    <mergeCell ref="A73:C73"/>
    <mergeCell ref="A82:C82"/>
    <mergeCell ref="A60:C60"/>
    <mergeCell ref="B17:H17"/>
    <mergeCell ref="A16:C16"/>
    <mergeCell ref="A18:C18"/>
    <mergeCell ref="E6:F6"/>
    <mergeCell ref="A5:B5"/>
    <mergeCell ref="A8:H8"/>
    <mergeCell ref="D12:E12"/>
    <mergeCell ref="A3:H3"/>
    <mergeCell ref="F14:H14"/>
    <mergeCell ref="B27:H27"/>
    <mergeCell ref="D78:E78"/>
    <mergeCell ref="D62:E62"/>
    <mergeCell ref="F64:H64"/>
    <mergeCell ref="A34:C34"/>
    <mergeCell ref="F12:H12"/>
    <mergeCell ref="D26:E26"/>
    <mergeCell ref="B37:H37"/>
    <mergeCell ref="A66:C66"/>
    <mergeCell ref="A75:C75"/>
    <mergeCell ref="D34:E34"/>
    <mergeCell ref="C5:D5"/>
    <mergeCell ref="F50:H50"/>
    <mergeCell ref="E5:F5"/>
    <mergeCell ref="B55:H55"/>
    <mergeCell ref="D22:E22"/>
    <mergeCell ref="B33:H33"/>
    <mergeCell ref="F66:H66"/>
    <mergeCell ref="D36:E36"/>
    <mergeCell ref="B51:H51"/>
    <mergeCell ref="A26:C26"/>
    <mergeCell ref="D14:E14"/>
    <mergeCell ref="D54:E54"/>
    <mergeCell ref="F30:H30"/>
    <mergeCell ref="A54:C54"/>
    <mergeCell ref="F20:H20"/>
    <mergeCell ref="D24:E24"/>
    <mergeCell ref="D77:E77"/>
    <mergeCell ref="F22:H22"/>
    <mergeCell ref="B41:H41"/>
    <mergeCell ref="D86:E86"/>
    <mergeCell ref="B35:H35"/>
    <mergeCell ref="B25:H25"/>
    <mergeCell ref="D48:E48"/>
    <mergeCell ref="A52:C52"/>
    <mergeCell ref="A83:C83"/>
    <mergeCell ref="B29:H29"/>
    <mergeCell ref="D85:E85"/>
    <mergeCell ref="F87:H87"/>
    <mergeCell ref="F89:H89"/>
    <mergeCell ref="A93:E93"/>
    <mergeCell ref="D88:E88"/>
    <mergeCell ref="D20:E20"/>
    <mergeCell ref="D60:E60"/>
    <mergeCell ref="C6:D6"/>
    <mergeCell ref="F36:H36"/>
    <mergeCell ref="F18:H18"/>
    <mergeCell ref="A46:C46"/>
    <mergeCell ref="B49:H49"/>
    <mergeCell ref="F76:H76"/>
    <mergeCell ref="A80:C80"/>
    <mergeCell ref="B15:H15"/>
    <mergeCell ref="A12:C12"/>
    <mergeCell ref="A32:C32"/>
    <mergeCell ref="D11:E11"/>
    <mergeCell ref="A14:C14"/>
    <mergeCell ref="D76:E76"/>
    <mergeCell ref="F16:H16"/>
    <mergeCell ref="B13:H13"/>
    <mergeCell ref="A79:C79"/>
    <mergeCell ref="A10:H10"/>
    <mergeCell ref="A6:B6"/>
  </mergeCells>
  <hyperlinks>
    <hyperlink ref="A5" location="'Start Here'!A1" display="Start Here" xr:uid="{00000000-0004-0000-0500-000000000000}"/>
    <hyperlink ref="C5" location="'Your Profile'!A1" display="Your Profile" xr:uid="{00000000-0004-0000-0500-000001000000}"/>
    <hyperlink ref="E5" location="'Your Five Opportunities'!A1" display="Your Five Opportunities" xr:uid="{00000000-0004-0000-0500-000002000000}"/>
    <hyperlink ref="G5" location="'Strategy Library'!A1" display="Strategy Library" xr:uid="{00000000-0004-0000-0500-000003000000}"/>
    <hyperlink ref="A6" location="'How These Numbers Work'!A1" display="How These Numbers Work" xr:uid="{00000000-0004-0000-0500-000004000000}"/>
    <hyperlink ref="E6" location="'Help &amp; Disclosures'!A1" display="Help &amp; Disclosures" xr:uid="{00000000-0004-0000-0500-000005000000}"/>
    <hyperlink ref="F12" r:id="rId1" xr:uid="{00000000-0004-0000-0500-000006000000}"/>
    <hyperlink ref="F14" r:id="rId2" xr:uid="{00000000-0004-0000-0500-000007000000}"/>
    <hyperlink ref="F16" r:id="rId3" xr:uid="{00000000-0004-0000-0500-000008000000}"/>
    <hyperlink ref="F18" r:id="rId4" xr:uid="{00000000-0004-0000-0500-000009000000}"/>
    <hyperlink ref="F20" r:id="rId5" xr:uid="{00000000-0004-0000-0500-00000A000000}"/>
    <hyperlink ref="F22" r:id="rId6" xr:uid="{00000000-0004-0000-0500-00000B000000}"/>
    <hyperlink ref="F24" r:id="rId7" xr:uid="{00000000-0004-0000-0500-00000C000000}"/>
    <hyperlink ref="F26" r:id="rId8" xr:uid="{00000000-0004-0000-0500-00000D000000}"/>
    <hyperlink ref="F28" r:id="rId9" xr:uid="{00000000-0004-0000-0500-00000E000000}"/>
    <hyperlink ref="F30" r:id="rId10" xr:uid="{00000000-0004-0000-0500-00000F000000}"/>
    <hyperlink ref="F32" r:id="rId11" xr:uid="{00000000-0004-0000-0500-000010000000}"/>
    <hyperlink ref="F34" r:id="rId12" xr:uid="{00000000-0004-0000-0500-000011000000}"/>
    <hyperlink ref="F36" r:id="rId13" xr:uid="{00000000-0004-0000-0500-000012000000}"/>
    <hyperlink ref="F38" r:id="rId14" xr:uid="{00000000-0004-0000-0500-000013000000}"/>
    <hyperlink ref="F40" r:id="rId15" xr:uid="{00000000-0004-0000-0500-000014000000}"/>
    <hyperlink ref="F42" r:id="rId16" xr:uid="{00000000-0004-0000-0500-000015000000}"/>
    <hyperlink ref="F44" r:id="rId17" xr:uid="{00000000-0004-0000-0500-000016000000}"/>
    <hyperlink ref="F46" r:id="rId18" xr:uid="{00000000-0004-0000-0500-000017000000}"/>
    <hyperlink ref="F48" r:id="rId19" xr:uid="{00000000-0004-0000-0500-000018000000}"/>
    <hyperlink ref="F50" r:id="rId20" xr:uid="{00000000-0004-0000-0500-000019000000}"/>
    <hyperlink ref="F52" r:id="rId21" xr:uid="{00000000-0004-0000-0500-00001A000000}"/>
    <hyperlink ref="F54" r:id="rId22" xr:uid="{00000000-0004-0000-0500-00001B000000}"/>
    <hyperlink ref="F56" r:id="rId23" xr:uid="{00000000-0004-0000-0500-00001C000000}"/>
    <hyperlink ref="F58" r:id="rId24" xr:uid="{00000000-0004-0000-0500-00001D000000}"/>
    <hyperlink ref="F60" r:id="rId25" xr:uid="{00000000-0004-0000-0500-00001E000000}"/>
    <hyperlink ref="F62" r:id="rId26" xr:uid="{00000000-0004-0000-0500-00001F000000}"/>
    <hyperlink ref="F64" r:id="rId27" xr:uid="{00000000-0004-0000-0500-000020000000}"/>
    <hyperlink ref="F66" r:id="rId28" xr:uid="{00000000-0004-0000-0500-000021000000}"/>
    <hyperlink ref="F68" r:id="rId29" xr:uid="{00000000-0004-0000-0500-000022000000}"/>
    <hyperlink ref="F74" r:id="rId30" xr:uid="{00000000-0004-0000-0500-000023000000}"/>
    <hyperlink ref="F75" r:id="rId31" xr:uid="{00000000-0004-0000-0500-000024000000}"/>
    <hyperlink ref="F76" r:id="rId32" xr:uid="{00000000-0004-0000-0500-000025000000}"/>
    <hyperlink ref="F77" r:id="rId33" xr:uid="{00000000-0004-0000-0500-000026000000}"/>
    <hyperlink ref="F78" r:id="rId34" xr:uid="{00000000-0004-0000-0500-000027000000}"/>
    <hyperlink ref="F79" r:id="rId35" xr:uid="{00000000-0004-0000-0500-000028000000}"/>
    <hyperlink ref="F80" r:id="rId36" xr:uid="{00000000-0004-0000-0500-000029000000}"/>
    <hyperlink ref="F81" r:id="rId37" xr:uid="{00000000-0004-0000-0500-00002A000000}"/>
    <hyperlink ref="F82" r:id="rId38" xr:uid="{00000000-0004-0000-0500-00002B000000}"/>
    <hyperlink ref="F83" r:id="rId39" xr:uid="{00000000-0004-0000-0500-00002C000000}"/>
    <hyperlink ref="F84" r:id="rId40" xr:uid="{00000000-0004-0000-0500-00002D000000}"/>
    <hyperlink ref="F85" r:id="rId41" xr:uid="{00000000-0004-0000-0500-00002E000000}"/>
    <hyperlink ref="F86" r:id="rId42" xr:uid="{00000000-0004-0000-0500-00002F000000}"/>
    <hyperlink ref="F87" r:id="rId43" xr:uid="{00000000-0004-0000-0500-000030000000}"/>
    <hyperlink ref="F88" r:id="rId44" xr:uid="{00000000-0004-0000-0500-000031000000}"/>
    <hyperlink ref="F89" r:id="rId45" xr:uid="{00000000-0004-0000-0500-000032000000}"/>
    <hyperlink ref="F94" r:id="rId46" xr:uid="{00000000-0004-0000-0500-000033000000}"/>
    <hyperlink ref="F95" r:id="rId47" xr:uid="{00000000-0004-0000-0500-000034000000}"/>
    <hyperlink ref="F96" r:id="rId48" xr:uid="{00000000-0004-0000-0500-000035000000}"/>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8C172D"/>
  </sheetPr>
  <dimension ref="A1:H21"/>
  <sheetViews>
    <sheetView showGridLines="0" workbookViewId="0">
      <pane ySplit="8" topLeftCell="A9" activePane="bottomLeft" state="frozen"/>
      <selection pane="bottomLeft" activeCell="O85" sqref="O85"/>
    </sheetView>
  </sheetViews>
  <sheetFormatPr defaultRowHeight="15" x14ac:dyDescent="0.25"/>
  <cols>
    <col min="1" max="1" width="24" customWidth="1"/>
    <col min="2" max="4" width="20" customWidth="1"/>
    <col min="5" max="8" width="18" customWidth="1"/>
  </cols>
  <sheetData>
    <row r="1" spans="1:8" ht="25.5" x14ac:dyDescent="0.35">
      <c r="A1" s="1" t="s">
        <v>9</v>
      </c>
    </row>
    <row r="2" spans="1:8" ht="30" customHeight="1" x14ac:dyDescent="0.25">
      <c r="A2" s="27" t="s">
        <v>346</v>
      </c>
      <c r="B2" s="18"/>
      <c r="C2" s="18"/>
      <c r="D2" s="18"/>
      <c r="E2" s="18"/>
      <c r="F2" s="18"/>
      <c r="G2" s="18"/>
      <c r="H2" s="18"/>
    </row>
    <row r="3" spans="1:8" ht="16.899999999999999" customHeight="1" x14ac:dyDescent="0.25">
      <c r="A3" s="25" t="s">
        <v>2</v>
      </c>
      <c r="B3" s="26"/>
      <c r="C3" s="26"/>
      <c r="D3" s="26"/>
      <c r="E3" s="26"/>
      <c r="F3" s="26"/>
      <c r="G3" s="26"/>
      <c r="H3" s="26"/>
    </row>
    <row r="5" spans="1:8" ht="18" customHeight="1" x14ac:dyDescent="0.25">
      <c r="A5" s="23" t="s">
        <v>3</v>
      </c>
      <c r="B5" s="18"/>
      <c r="C5" s="23" t="s">
        <v>4</v>
      </c>
      <c r="D5" s="18"/>
      <c r="E5" s="23" t="s">
        <v>5</v>
      </c>
      <c r="F5" s="18"/>
      <c r="G5" s="23" t="s">
        <v>6</v>
      </c>
      <c r="H5" s="18"/>
    </row>
    <row r="6" spans="1:8" ht="18" customHeight="1" x14ac:dyDescent="0.25">
      <c r="A6" s="23" t="s">
        <v>7</v>
      </c>
      <c r="B6" s="18"/>
      <c r="C6" s="23" t="s">
        <v>8</v>
      </c>
      <c r="D6" s="18"/>
      <c r="E6" s="28" t="s">
        <v>9</v>
      </c>
      <c r="F6" s="18"/>
    </row>
    <row r="8" spans="1:8" ht="30" customHeight="1" x14ac:dyDescent="0.25">
      <c r="A8" s="17" t="s">
        <v>347</v>
      </c>
      <c r="B8" s="18"/>
      <c r="C8" s="18"/>
      <c r="D8" s="18"/>
      <c r="E8" s="18"/>
      <c r="F8" s="18"/>
      <c r="G8" s="18"/>
      <c r="H8" s="18"/>
    </row>
    <row r="9" spans="1:8" ht="33.950000000000003" customHeight="1" x14ac:dyDescent="0.25">
      <c r="A9" s="17" t="s">
        <v>348</v>
      </c>
      <c r="B9" s="18"/>
      <c r="C9" s="18"/>
      <c r="D9" s="18"/>
      <c r="E9" s="18"/>
      <c r="F9" s="18"/>
      <c r="G9" s="18"/>
      <c r="H9" s="18"/>
    </row>
    <row r="10" spans="1:8" ht="30" customHeight="1" x14ac:dyDescent="0.25">
      <c r="A10" s="17" t="s">
        <v>349</v>
      </c>
      <c r="B10" s="18"/>
      <c r="C10" s="18"/>
      <c r="D10" s="18"/>
      <c r="E10" s="18"/>
      <c r="F10" s="18"/>
      <c r="G10" s="18"/>
      <c r="H10" s="18"/>
    </row>
    <row r="11" spans="1:8" ht="33.950000000000003" customHeight="1" x14ac:dyDescent="0.25">
      <c r="A11" s="17" t="s">
        <v>350</v>
      </c>
      <c r="B11" s="18"/>
      <c r="C11" s="18"/>
      <c r="D11" s="18"/>
      <c r="E11" s="18"/>
      <c r="F11" s="18"/>
      <c r="G11" s="18"/>
      <c r="H11" s="18"/>
    </row>
    <row r="12" spans="1:8" ht="30" customHeight="1" x14ac:dyDescent="0.25">
      <c r="A12" s="17" t="s">
        <v>351</v>
      </c>
      <c r="B12" s="18"/>
      <c r="C12" s="18"/>
      <c r="D12" s="18"/>
      <c r="E12" s="18"/>
      <c r="F12" s="18"/>
      <c r="G12" s="18"/>
      <c r="H12" s="18"/>
    </row>
    <row r="13" spans="1:8" ht="30" customHeight="1" x14ac:dyDescent="0.25">
      <c r="A13" s="17" t="s">
        <v>352</v>
      </c>
      <c r="B13" s="18"/>
      <c r="C13" s="18"/>
      <c r="D13" s="18"/>
      <c r="E13" s="18"/>
      <c r="F13" s="18"/>
      <c r="G13" s="18"/>
      <c r="H13" s="18"/>
    </row>
    <row r="14" spans="1:8" ht="30" customHeight="1" x14ac:dyDescent="0.25">
      <c r="A14" s="17" t="s">
        <v>353</v>
      </c>
      <c r="B14" s="18"/>
      <c r="C14" s="18"/>
      <c r="D14" s="18"/>
      <c r="E14" s="18"/>
      <c r="F14" s="18"/>
      <c r="G14" s="18"/>
      <c r="H14" s="18"/>
    </row>
    <row r="15" spans="1:8" ht="30" customHeight="1" x14ac:dyDescent="0.25">
      <c r="A15" s="17" t="s">
        <v>354</v>
      </c>
      <c r="B15" s="18"/>
      <c r="C15" s="18"/>
      <c r="D15" s="18"/>
      <c r="E15" s="18"/>
      <c r="F15" s="18"/>
      <c r="G15" s="18"/>
      <c r="H15" s="18"/>
    </row>
    <row r="16" spans="1:8" ht="30" customHeight="1" x14ac:dyDescent="0.25">
      <c r="A16" s="17" t="s">
        <v>355</v>
      </c>
      <c r="B16" s="18"/>
      <c r="C16" s="18"/>
      <c r="D16" s="18"/>
      <c r="E16" s="18"/>
      <c r="F16" s="18"/>
      <c r="G16" s="18"/>
      <c r="H16" s="18"/>
    </row>
    <row r="17" spans="1:8" ht="30" customHeight="1" x14ac:dyDescent="0.25">
      <c r="A17" s="17" t="s">
        <v>356</v>
      </c>
      <c r="B17" s="18"/>
      <c r="C17" s="18"/>
      <c r="D17" s="18"/>
      <c r="E17" s="18"/>
      <c r="F17" s="18"/>
      <c r="G17" s="18"/>
      <c r="H17" s="18"/>
    </row>
    <row r="19" spans="1:8" ht="22.15" customHeight="1" x14ac:dyDescent="0.25">
      <c r="A19" s="24" t="s">
        <v>44</v>
      </c>
      <c r="B19" s="18"/>
      <c r="C19" s="18"/>
      <c r="D19" s="18"/>
      <c r="E19" s="18"/>
      <c r="F19" s="18"/>
      <c r="G19" s="18"/>
      <c r="H19" s="18"/>
    </row>
    <row r="20" spans="1:8" ht="63" customHeight="1" x14ac:dyDescent="0.25">
      <c r="A20" s="37" t="s">
        <v>45</v>
      </c>
      <c r="B20" s="20"/>
      <c r="C20" s="20"/>
      <c r="D20" s="20"/>
      <c r="E20" s="20"/>
      <c r="F20" s="20"/>
      <c r="G20" s="20"/>
      <c r="H20" s="21"/>
    </row>
    <row r="21" spans="1:8" ht="21.95" customHeight="1" x14ac:dyDescent="0.25">
      <c r="A21" s="35" t="s">
        <v>46</v>
      </c>
      <c r="B21" s="20"/>
      <c r="C21" s="20"/>
      <c r="D21" s="21"/>
      <c r="E21" s="33" t="s">
        <v>47</v>
      </c>
      <c r="F21" s="18"/>
      <c r="G21" s="18"/>
      <c r="H21" s="18"/>
    </row>
  </sheetData>
  <sheetProtection sheet="1"/>
  <mergeCells count="23">
    <mergeCell ref="A2:H2"/>
    <mergeCell ref="A5:B5"/>
    <mergeCell ref="G5:H5"/>
    <mergeCell ref="A14:H14"/>
    <mergeCell ref="A8:H8"/>
    <mergeCell ref="A10:H10"/>
    <mergeCell ref="A13:H13"/>
    <mergeCell ref="A16:H16"/>
    <mergeCell ref="E21:H21"/>
    <mergeCell ref="A12:H12"/>
    <mergeCell ref="A3:H3"/>
    <mergeCell ref="E6:F6"/>
    <mergeCell ref="A17:H17"/>
    <mergeCell ref="A20:H20"/>
    <mergeCell ref="A21:D21"/>
    <mergeCell ref="A19:H19"/>
    <mergeCell ref="A9:H9"/>
    <mergeCell ref="C6:D6"/>
    <mergeCell ref="A15:H15"/>
    <mergeCell ref="C5:D5"/>
    <mergeCell ref="E5:F5"/>
    <mergeCell ref="A11:H11"/>
    <mergeCell ref="A6:B6"/>
  </mergeCells>
  <hyperlinks>
    <hyperlink ref="A5" location="'Start Here'!A1" display="Start Here" xr:uid="{00000000-0004-0000-0600-000000000000}"/>
    <hyperlink ref="C5" location="'Your Profile'!A1" display="Your Profile" xr:uid="{00000000-0004-0000-0600-000001000000}"/>
    <hyperlink ref="E5" location="'Your Five Opportunities'!A1" display="Your Five Opportunities" xr:uid="{00000000-0004-0000-0600-000002000000}"/>
    <hyperlink ref="G5" location="'Strategy Library'!A1" display="Strategy Library" xr:uid="{00000000-0004-0000-0600-000003000000}"/>
    <hyperlink ref="A6" location="'How These Numbers Work'!A1" display="How These Numbers Work" xr:uid="{00000000-0004-0000-0600-000004000000}"/>
    <hyperlink ref="C6" location="'Sources &amp; Notes'!A1" display="Sources &amp; Notes" xr:uid="{00000000-0004-0000-0600-000005000000}"/>
    <hyperlink ref="A21" r:id="rId1" xr:uid="{00000000-0004-0000-0600-000006000000}"/>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1"/>
  <sheetViews>
    <sheetView workbookViewId="0"/>
  </sheetViews>
  <sheetFormatPr defaultRowHeight="15" x14ac:dyDescent="0.25"/>
  <cols>
    <col min="1" max="1" width="44" customWidth="1"/>
    <col min="2" max="2" width="14" customWidth="1"/>
    <col min="3" max="3" width="20" customWidth="1"/>
    <col min="4" max="4" width="18" customWidth="1"/>
    <col min="5" max="5" width="60" customWidth="1"/>
  </cols>
  <sheetData>
    <row r="1" spans="1:5" x14ac:dyDescent="0.25">
      <c r="A1" s="11" t="s">
        <v>357</v>
      </c>
    </row>
    <row r="2" spans="1:5" x14ac:dyDescent="0.25">
      <c r="A2" s="12" t="s">
        <v>358</v>
      </c>
      <c r="B2" s="12" t="s">
        <v>359</v>
      </c>
      <c r="C2" s="12" t="s">
        <v>360</v>
      </c>
      <c r="D2" s="12" t="s">
        <v>361</v>
      </c>
      <c r="E2" s="12" t="s">
        <v>362</v>
      </c>
    </row>
    <row r="3" spans="1:5" x14ac:dyDescent="0.25">
      <c r="A3" s="13" t="s">
        <v>363</v>
      </c>
      <c r="B3" s="13">
        <v>72000</v>
      </c>
      <c r="C3" s="13" t="s">
        <v>364</v>
      </c>
      <c r="D3" s="13" t="s">
        <v>365</v>
      </c>
      <c r="E3" s="13" t="s">
        <v>366</v>
      </c>
    </row>
    <row r="4" spans="1:5" x14ac:dyDescent="0.25">
      <c r="A4" s="13" t="s">
        <v>367</v>
      </c>
      <c r="B4" s="13">
        <v>360000</v>
      </c>
      <c r="C4" s="13" t="s">
        <v>364</v>
      </c>
      <c r="D4" s="13" t="s">
        <v>365</v>
      </c>
      <c r="E4" s="13" t="s">
        <v>366</v>
      </c>
    </row>
    <row r="5" spans="1:5" x14ac:dyDescent="0.25">
      <c r="A5" s="13" t="s">
        <v>368</v>
      </c>
      <c r="B5" s="13">
        <v>14</v>
      </c>
      <c r="C5" s="13" t="s">
        <v>369</v>
      </c>
      <c r="D5" s="13" t="s">
        <v>365</v>
      </c>
      <c r="E5" s="13" t="s">
        <v>370</v>
      </c>
    </row>
    <row r="6" spans="1:5" x14ac:dyDescent="0.25">
      <c r="A6" s="13" t="s">
        <v>371</v>
      </c>
      <c r="B6" s="13" t="s">
        <v>372</v>
      </c>
      <c r="C6" s="13" t="s">
        <v>373</v>
      </c>
      <c r="D6" s="13" t="s">
        <v>365</v>
      </c>
      <c r="E6" s="13" t="s">
        <v>374</v>
      </c>
    </row>
    <row r="7" spans="1:5" x14ac:dyDescent="0.25">
      <c r="A7" s="13" t="s">
        <v>375</v>
      </c>
      <c r="B7" s="13" t="s">
        <v>376</v>
      </c>
      <c r="C7" s="13" t="s">
        <v>373</v>
      </c>
      <c r="D7" s="13" t="s">
        <v>365</v>
      </c>
      <c r="E7" s="13" t="s">
        <v>377</v>
      </c>
    </row>
    <row r="8" spans="1:5" x14ac:dyDescent="0.25">
      <c r="A8" s="13" t="s">
        <v>378</v>
      </c>
      <c r="B8" s="13">
        <v>1</v>
      </c>
      <c r="C8" s="13" t="s">
        <v>379</v>
      </c>
      <c r="D8" s="13" t="s">
        <v>365</v>
      </c>
      <c r="E8" s="13" t="s">
        <v>380</v>
      </c>
    </row>
    <row r="9" spans="1:5" x14ac:dyDescent="0.25">
      <c r="A9" s="13" t="s">
        <v>381</v>
      </c>
      <c r="B9" s="13">
        <v>8000</v>
      </c>
      <c r="C9" s="13" t="s">
        <v>364</v>
      </c>
      <c r="D9" s="13" t="s">
        <v>365</v>
      </c>
      <c r="E9" s="13" t="s">
        <v>366</v>
      </c>
    </row>
    <row r="10" spans="1:5" x14ac:dyDescent="0.25">
      <c r="A10" s="13" t="s">
        <v>382</v>
      </c>
      <c r="B10" s="13">
        <v>24500</v>
      </c>
      <c r="C10" s="13" t="s">
        <v>364</v>
      </c>
      <c r="D10" s="13" t="s">
        <v>365</v>
      </c>
      <c r="E10" s="13" t="s">
        <v>383</v>
      </c>
    </row>
    <row r="11" spans="1:5" x14ac:dyDescent="0.25">
      <c r="A11" s="13" t="s">
        <v>384</v>
      </c>
      <c r="B11" s="13" t="s">
        <v>385</v>
      </c>
      <c r="C11" s="13" t="s">
        <v>373</v>
      </c>
      <c r="D11" s="13" t="s">
        <v>365</v>
      </c>
      <c r="E11" s="13" t="s">
        <v>386</v>
      </c>
    </row>
    <row r="12" spans="1:5" x14ac:dyDescent="0.25">
      <c r="A12" s="13" t="s">
        <v>387</v>
      </c>
      <c r="B12" s="13">
        <v>1000</v>
      </c>
      <c r="C12" s="13" t="s">
        <v>364</v>
      </c>
      <c r="D12" s="13" t="s">
        <v>365</v>
      </c>
      <c r="E12" s="13" t="s">
        <v>275</v>
      </c>
    </row>
    <row r="13" spans="1:5" x14ac:dyDescent="0.25">
      <c r="A13" s="13" t="s">
        <v>388</v>
      </c>
      <c r="B13" s="13">
        <v>8750</v>
      </c>
      <c r="C13" s="13" t="s">
        <v>364</v>
      </c>
      <c r="D13" s="13" t="s">
        <v>365</v>
      </c>
      <c r="E13" s="13" t="s">
        <v>389</v>
      </c>
    </row>
    <row r="14" spans="1:5" x14ac:dyDescent="0.25">
      <c r="A14" s="13" t="s">
        <v>390</v>
      </c>
      <c r="B14" s="13">
        <v>0.32</v>
      </c>
      <c r="C14" s="13" t="s">
        <v>379</v>
      </c>
      <c r="D14" s="13" t="s">
        <v>365</v>
      </c>
      <c r="E14" s="13" t="s">
        <v>391</v>
      </c>
    </row>
    <row r="15" spans="1:5" x14ac:dyDescent="0.25">
      <c r="A15" s="13" t="s">
        <v>392</v>
      </c>
      <c r="B15" s="13">
        <v>0.72499999999999998</v>
      </c>
      <c r="C15" s="13" t="s">
        <v>393</v>
      </c>
      <c r="D15" s="13" t="s">
        <v>365</v>
      </c>
      <c r="E15" s="13" t="s">
        <v>394</v>
      </c>
    </row>
    <row r="16" spans="1:5" x14ac:dyDescent="0.25">
      <c r="A16" s="13" t="s">
        <v>395</v>
      </c>
      <c r="B16" s="13">
        <v>0.76</v>
      </c>
      <c r="C16" s="13" t="s">
        <v>393</v>
      </c>
      <c r="D16" s="13" t="s">
        <v>365</v>
      </c>
      <c r="E16" s="13" t="s">
        <v>396</v>
      </c>
    </row>
    <row r="17" spans="1:5" x14ac:dyDescent="0.25">
      <c r="A17" s="13" t="s">
        <v>397</v>
      </c>
      <c r="B17" s="13">
        <v>553500</v>
      </c>
      <c r="C17" s="13" t="s">
        <v>364</v>
      </c>
      <c r="D17" s="13" t="s">
        <v>365</v>
      </c>
      <c r="E17" s="13" t="s">
        <v>398</v>
      </c>
    </row>
    <row r="18" spans="1:5" x14ac:dyDescent="0.25">
      <c r="A18" s="13" t="s">
        <v>399</v>
      </c>
      <c r="B18" s="13">
        <v>403500</v>
      </c>
      <c r="C18" s="13" t="s">
        <v>364</v>
      </c>
      <c r="D18" s="13" t="s">
        <v>365</v>
      </c>
      <c r="E18" s="13" t="s">
        <v>398</v>
      </c>
    </row>
    <row r="19" spans="1:5" x14ac:dyDescent="0.25">
      <c r="A19" s="13" t="s">
        <v>400</v>
      </c>
      <c r="B19" s="13">
        <v>150000</v>
      </c>
      <c r="C19" s="13" t="s">
        <v>364</v>
      </c>
      <c r="D19" s="13" t="s">
        <v>365</v>
      </c>
      <c r="E19" s="13" t="s">
        <v>366</v>
      </c>
    </row>
    <row r="20" spans="1:5" x14ac:dyDescent="0.25">
      <c r="A20" s="13" t="s">
        <v>401</v>
      </c>
      <c r="B20" s="13">
        <v>2560000</v>
      </c>
      <c r="C20" s="13" t="s">
        <v>364</v>
      </c>
      <c r="D20" s="13" t="s">
        <v>365</v>
      </c>
      <c r="E20" s="13" t="s">
        <v>398</v>
      </c>
    </row>
    <row r="21" spans="1:5" x14ac:dyDescent="0.25">
      <c r="A21" s="13" t="s">
        <v>402</v>
      </c>
      <c r="B21" s="13">
        <v>16100</v>
      </c>
      <c r="C21" s="13" t="s">
        <v>364</v>
      </c>
      <c r="D21" s="13" t="s">
        <v>365</v>
      </c>
      <c r="E21" s="13" t="s">
        <v>398</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6"/>
  <sheetViews>
    <sheetView workbookViewId="0"/>
  </sheetViews>
  <sheetFormatPr defaultRowHeight="15" x14ac:dyDescent="0.25"/>
  <cols>
    <col min="1" max="2" width="8" customWidth="1"/>
    <col min="3" max="3" width="52" customWidth="1"/>
    <col min="4" max="4" width="18" customWidth="1"/>
    <col min="5" max="5" width="14" customWidth="1"/>
    <col min="6" max="6" width="12" customWidth="1"/>
    <col min="7" max="7" width="14" customWidth="1"/>
    <col min="8" max="8" width="20" customWidth="1"/>
    <col min="9" max="9" width="12" customWidth="1"/>
    <col min="10" max="10" width="20" customWidth="1"/>
    <col min="11" max="11" width="12" customWidth="1"/>
    <col min="12" max="12" width="14" customWidth="1"/>
  </cols>
  <sheetData>
    <row r="1" spans="1:12" x14ac:dyDescent="0.25">
      <c r="A1" s="11" t="s">
        <v>403</v>
      </c>
    </row>
    <row r="2" spans="1:12" x14ac:dyDescent="0.25">
      <c r="A2" s="12" t="s">
        <v>404</v>
      </c>
      <c r="B2" s="12" t="s">
        <v>405</v>
      </c>
      <c r="C2" s="12" t="s">
        <v>406</v>
      </c>
      <c r="D2" s="12" t="s">
        <v>407</v>
      </c>
      <c r="E2" s="12" t="s">
        <v>408</v>
      </c>
      <c r="F2" s="12" t="s">
        <v>409</v>
      </c>
      <c r="G2" s="12" t="s">
        <v>410</v>
      </c>
      <c r="H2" s="12" t="s">
        <v>411</v>
      </c>
      <c r="I2" s="12" t="s">
        <v>412</v>
      </c>
      <c r="J2" s="12" t="s">
        <v>413</v>
      </c>
      <c r="K2" s="12" t="s">
        <v>414</v>
      </c>
      <c r="L2" s="12" t="s">
        <v>415</v>
      </c>
    </row>
    <row r="3" spans="1:12" x14ac:dyDescent="0.25">
      <c r="A3" s="13" t="s">
        <v>416</v>
      </c>
      <c r="B3" s="13" t="s">
        <v>417</v>
      </c>
      <c r="C3" s="13" t="s">
        <v>418</v>
      </c>
      <c r="D3" s="13" t="s">
        <v>408</v>
      </c>
      <c r="E3" s="13">
        <v>120000</v>
      </c>
      <c r="F3" s="13"/>
      <c r="G3" s="13"/>
      <c r="H3" s="13"/>
      <c r="I3" s="13" t="s">
        <v>419</v>
      </c>
      <c r="J3" s="13">
        <v>120000</v>
      </c>
      <c r="K3" s="13" t="s">
        <v>419</v>
      </c>
      <c r="L3" s="13"/>
    </row>
    <row r="4" spans="1:12" x14ac:dyDescent="0.25">
      <c r="A4" s="13" t="s">
        <v>274</v>
      </c>
      <c r="B4" s="13" t="s">
        <v>417</v>
      </c>
      <c r="C4" s="13" t="s">
        <v>420</v>
      </c>
      <c r="D4" s="13" t="s">
        <v>408</v>
      </c>
      <c r="E4" s="13"/>
      <c r="F4" s="13"/>
      <c r="G4" s="13"/>
      <c r="H4" s="13"/>
      <c r="I4" s="13" t="s">
        <v>421</v>
      </c>
      <c r="J4" s="13"/>
      <c r="K4" s="13" t="s">
        <v>421</v>
      </c>
      <c r="L4" s="13"/>
    </row>
    <row r="5" spans="1:12" x14ac:dyDescent="0.25">
      <c r="A5" s="13" t="s">
        <v>218</v>
      </c>
      <c r="B5" s="13" t="s">
        <v>417</v>
      </c>
      <c r="C5" s="13" t="s">
        <v>422</v>
      </c>
      <c r="D5" s="13" t="s">
        <v>408</v>
      </c>
      <c r="E5" s="13">
        <v>36000</v>
      </c>
      <c r="F5" s="13"/>
      <c r="G5" s="13"/>
      <c r="H5" s="13"/>
      <c r="I5" s="13" t="s">
        <v>421</v>
      </c>
      <c r="J5" s="13"/>
      <c r="K5" s="13" t="s">
        <v>421</v>
      </c>
      <c r="L5" s="13">
        <v>0.24</v>
      </c>
    </row>
    <row r="6" spans="1:12" x14ac:dyDescent="0.25">
      <c r="A6" s="13" t="s">
        <v>296</v>
      </c>
      <c r="B6" s="13" t="s">
        <v>423</v>
      </c>
      <c r="C6" s="13" t="s">
        <v>424</v>
      </c>
      <c r="D6" s="13" t="s">
        <v>425</v>
      </c>
      <c r="E6" s="13"/>
      <c r="F6" s="13"/>
      <c r="G6" s="13">
        <v>8205</v>
      </c>
      <c r="H6" s="13">
        <v>3981</v>
      </c>
      <c r="I6" s="13" t="s">
        <v>421</v>
      </c>
      <c r="J6" s="13"/>
      <c r="K6" s="13" t="s">
        <v>421</v>
      </c>
      <c r="L6" s="13"/>
    </row>
    <row r="7" spans="1:12" x14ac:dyDescent="0.25">
      <c r="A7" s="13" t="s">
        <v>222</v>
      </c>
      <c r="B7" s="13" t="s">
        <v>423</v>
      </c>
      <c r="C7" s="13" t="s">
        <v>426</v>
      </c>
      <c r="D7" s="13" t="s">
        <v>408</v>
      </c>
      <c r="E7" s="13">
        <v>8340</v>
      </c>
      <c r="F7" s="13"/>
      <c r="G7" s="13"/>
      <c r="H7" s="13"/>
      <c r="I7" s="13" t="s">
        <v>419</v>
      </c>
      <c r="J7" s="13">
        <v>8340</v>
      </c>
      <c r="K7" s="13" t="s">
        <v>421</v>
      </c>
      <c r="L7" s="13"/>
    </row>
    <row r="8" spans="1:12" x14ac:dyDescent="0.25">
      <c r="A8" s="13" t="s">
        <v>252</v>
      </c>
      <c r="B8" s="13" t="s">
        <v>423</v>
      </c>
      <c r="C8" s="13" t="s">
        <v>427</v>
      </c>
      <c r="D8" s="13" t="s">
        <v>408</v>
      </c>
      <c r="E8" s="13">
        <v>21000</v>
      </c>
      <c r="F8" s="13"/>
      <c r="G8" s="13"/>
      <c r="H8" s="13"/>
      <c r="I8" s="13" t="s">
        <v>419</v>
      </c>
      <c r="J8" s="13">
        <v>21000</v>
      </c>
      <c r="K8" s="13" t="s">
        <v>421</v>
      </c>
      <c r="L8" s="13"/>
    </row>
    <row r="9" spans="1:12" x14ac:dyDescent="0.25">
      <c r="A9" s="13" t="s">
        <v>255</v>
      </c>
      <c r="B9" s="13" t="s">
        <v>423</v>
      </c>
      <c r="C9" s="13" t="s">
        <v>428</v>
      </c>
      <c r="D9" s="13" t="s">
        <v>408</v>
      </c>
      <c r="E9" s="13">
        <v>30000</v>
      </c>
      <c r="F9" s="13"/>
      <c r="G9" s="13">
        <v>1046</v>
      </c>
      <c r="H9" s="13"/>
      <c r="I9" s="13" t="s">
        <v>419</v>
      </c>
      <c r="J9" s="13">
        <v>30000</v>
      </c>
      <c r="K9" s="13" t="s">
        <v>421</v>
      </c>
      <c r="L9" s="13"/>
    </row>
    <row r="10" spans="1:12" x14ac:dyDescent="0.25">
      <c r="A10" s="13" t="s">
        <v>429</v>
      </c>
      <c r="B10" s="13" t="s">
        <v>430</v>
      </c>
      <c r="C10" s="13" t="s">
        <v>431</v>
      </c>
      <c r="D10" s="13" t="s">
        <v>408</v>
      </c>
      <c r="E10" s="13">
        <v>400000</v>
      </c>
      <c r="F10" s="13"/>
      <c r="G10" s="13"/>
      <c r="H10" s="13"/>
      <c r="I10" s="13" t="s">
        <v>419</v>
      </c>
      <c r="J10" s="13">
        <v>400000</v>
      </c>
      <c r="K10" s="13" t="s">
        <v>419</v>
      </c>
      <c r="L10" s="13"/>
    </row>
    <row r="11" spans="1:12" x14ac:dyDescent="0.25">
      <c r="A11" s="13" t="s">
        <v>432</v>
      </c>
      <c r="B11" s="13" t="s">
        <v>430</v>
      </c>
      <c r="C11" s="13" t="s">
        <v>433</v>
      </c>
      <c r="D11" s="13" t="s">
        <v>434</v>
      </c>
      <c r="E11" s="13"/>
      <c r="F11" s="13"/>
      <c r="G11" s="13"/>
      <c r="H11" s="13"/>
      <c r="I11" s="13" t="s">
        <v>421</v>
      </c>
      <c r="J11" s="13"/>
      <c r="K11" s="13" t="s">
        <v>421</v>
      </c>
      <c r="L11" s="13"/>
    </row>
    <row r="12" spans="1:12" x14ac:dyDescent="0.25">
      <c r="A12" s="13" t="s">
        <v>225</v>
      </c>
      <c r="B12" s="13" t="s">
        <v>430</v>
      </c>
      <c r="C12" s="13" t="s">
        <v>435</v>
      </c>
      <c r="D12" s="13" t="s">
        <v>408</v>
      </c>
      <c r="E12" s="13">
        <v>18000</v>
      </c>
      <c r="F12" s="13"/>
      <c r="G12" s="13">
        <v>632</v>
      </c>
      <c r="H12" s="13"/>
      <c r="I12" s="13" t="s">
        <v>419</v>
      </c>
      <c r="J12" s="13">
        <v>18000</v>
      </c>
      <c r="K12" s="13" t="s">
        <v>421</v>
      </c>
      <c r="L12" s="13"/>
    </row>
    <row r="13" spans="1:12" x14ac:dyDescent="0.25">
      <c r="A13" s="13" t="s">
        <v>264</v>
      </c>
      <c r="B13" s="13" t="s">
        <v>430</v>
      </c>
      <c r="C13" s="13" t="s">
        <v>436</v>
      </c>
      <c r="D13" s="13" t="s">
        <v>409</v>
      </c>
      <c r="E13" s="13"/>
      <c r="F13" s="13">
        <v>5250</v>
      </c>
      <c r="G13" s="13"/>
      <c r="H13" s="13"/>
      <c r="I13" s="13" t="s">
        <v>421</v>
      </c>
      <c r="J13" s="13"/>
      <c r="K13" s="13" t="s">
        <v>421</v>
      </c>
      <c r="L13" s="13"/>
    </row>
    <row r="14" spans="1:12" x14ac:dyDescent="0.25">
      <c r="A14" s="13" t="s">
        <v>437</v>
      </c>
      <c r="B14" s="13" t="s">
        <v>438</v>
      </c>
      <c r="C14" s="13" t="s">
        <v>439</v>
      </c>
      <c r="D14" s="13" t="s">
        <v>440</v>
      </c>
      <c r="E14" s="13"/>
      <c r="F14" s="13"/>
      <c r="G14" s="13"/>
      <c r="H14" s="13"/>
      <c r="I14" s="13" t="s">
        <v>419</v>
      </c>
      <c r="J14" s="13"/>
      <c r="K14" s="13" t="s">
        <v>419</v>
      </c>
      <c r="L14" s="13"/>
    </row>
    <row r="15" spans="1:12" x14ac:dyDescent="0.25">
      <c r="A15" s="13" t="s">
        <v>261</v>
      </c>
      <c r="B15" s="13" t="s">
        <v>438</v>
      </c>
      <c r="C15" s="13" t="s">
        <v>441</v>
      </c>
      <c r="D15" s="13" t="s">
        <v>408</v>
      </c>
      <c r="E15" s="13">
        <v>70000</v>
      </c>
      <c r="F15" s="13"/>
      <c r="G15" s="13"/>
      <c r="H15" s="13"/>
      <c r="I15" s="13" t="s">
        <v>419</v>
      </c>
      <c r="J15" s="13">
        <v>37500</v>
      </c>
      <c r="K15" s="13" t="s">
        <v>419</v>
      </c>
      <c r="L15" s="13"/>
    </row>
    <row r="16" spans="1:12" x14ac:dyDescent="0.25">
      <c r="A16" s="13" t="s">
        <v>442</v>
      </c>
      <c r="B16" s="13" t="s">
        <v>438</v>
      </c>
      <c r="C16" s="13" t="s">
        <v>443</v>
      </c>
      <c r="D16" s="13" t="s">
        <v>408</v>
      </c>
      <c r="E16" s="13">
        <v>72250</v>
      </c>
      <c r="F16" s="13"/>
      <c r="G16" s="13"/>
      <c r="H16" s="13"/>
      <c r="I16" s="13" t="s">
        <v>419</v>
      </c>
      <c r="J16" s="13">
        <v>72250</v>
      </c>
      <c r="K16" s="13" t="s">
        <v>419</v>
      </c>
      <c r="L16" s="13"/>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9"/>
  <sheetViews>
    <sheetView workbookViewId="0"/>
  </sheetViews>
  <sheetFormatPr defaultRowHeight="15" x14ac:dyDescent="0.25"/>
  <cols>
    <col min="1" max="4" width="40" customWidth="1"/>
  </cols>
  <sheetData>
    <row r="1" spans="1:4" x14ac:dyDescent="0.25">
      <c r="A1" s="11" t="s">
        <v>444</v>
      </c>
    </row>
    <row r="2" spans="1:4" x14ac:dyDescent="0.25">
      <c r="A2" s="12" t="s">
        <v>445</v>
      </c>
      <c r="B2" s="12" t="s">
        <v>446</v>
      </c>
      <c r="C2" s="12" t="s">
        <v>447</v>
      </c>
      <c r="D2" s="12" t="s">
        <v>448</v>
      </c>
    </row>
    <row r="3" spans="1:4" x14ac:dyDescent="0.25">
      <c r="A3" s="13" t="s">
        <v>449</v>
      </c>
      <c r="B3" s="13" t="s">
        <v>450</v>
      </c>
      <c r="C3" s="13" t="s">
        <v>451</v>
      </c>
      <c r="D3" s="14">
        <v>0.1</v>
      </c>
    </row>
    <row r="4" spans="1:4" x14ac:dyDescent="0.25">
      <c r="A4" s="13" t="s">
        <v>452</v>
      </c>
      <c r="B4" s="13" t="s">
        <v>453</v>
      </c>
      <c r="C4" s="13" t="s">
        <v>454</v>
      </c>
      <c r="D4" s="14">
        <v>0.12</v>
      </c>
    </row>
    <row r="5" spans="1:4" x14ac:dyDescent="0.25">
      <c r="A5" s="13" t="s">
        <v>455</v>
      </c>
      <c r="B5" s="13" t="s">
        <v>456</v>
      </c>
      <c r="C5" s="13" t="s">
        <v>457</v>
      </c>
      <c r="D5" s="14">
        <v>0.22</v>
      </c>
    </row>
    <row r="6" spans="1:4" x14ac:dyDescent="0.25">
      <c r="A6" s="13" t="s">
        <v>458</v>
      </c>
      <c r="B6" s="13" t="s">
        <v>459</v>
      </c>
      <c r="C6" s="13" t="s">
        <v>460</v>
      </c>
      <c r="D6" s="14">
        <v>0.24</v>
      </c>
    </row>
    <row r="7" spans="1:4" x14ac:dyDescent="0.25">
      <c r="A7" s="13" t="s">
        <v>461</v>
      </c>
      <c r="D7" s="14">
        <v>0.32</v>
      </c>
    </row>
    <row r="8" spans="1:4" x14ac:dyDescent="0.25">
      <c r="D8" s="14">
        <v>0.35</v>
      </c>
    </row>
    <row r="9" spans="1:4" x14ac:dyDescent="0.25">
      <c r="D9" s="14">
        <v>0.37</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76"/>
  <sheetViews>
    <sheetView workbookViewId="0"/>
  </sheetViews>
  <sheetFormatPr defaultRowHeight="15" x14ac:dyDescent="0.25"/>
  <cols>
    <col min="1" max="1" width="56" customWidth="1"/>
    <col min="2" max="2" width="92" customWidth="1"/>
  </cols>
  <sheetData>
    <row r="1" spans="1:2" x14ac:dyDescent="0.25">
      <c r="A1" s="11" t="s">
        <v>462</v>
      </c>
    </row>
    <row r="2" spans="1:2" x14ac:dyDescent="0.25">
      <c r="A2" s="15" t="s">
        <v>463</v>
      </c>
    </row>
    <row r="4" spans="1:2" x14ac:dyDescent="0.25">
      <c r="A4" s="13" t="s">
        <v>464</v>
      </c>
      <c r="B4" s="14">
        <f>'Your Profile'!$D$16</f>
        <v>0.35</v>
      </c>
    </row>
    <row r="5" spans="1:2" x14ac:dyDescent="0.25">
      <c r="A5" s="13" t="s">
        <v>465</v>
      </c>
      <c r="B5" s="13">
        <f>0.2</f>
        <v>0.2</v>
      </c>
    </row>
    <row r="6" spans="1:2" x14ac:dyDescent="0.25">
      <c r="A6" s="13" t="s">
        <v>466</v>
      </c>
      <c r="B6" s="13">
        <f>IF(OR('Your Profile'!$D$10="",'Your Profile'!$D$11="",'Your Profile'!$D$12=""),0,1)</f>
        <v>1</v>
      </c>
    </row>
    <row r="7" spans="1:2" x14ac:dyDescent="0.25">
      <c r="A7" s="13" t="s">
        <v>467</v>
      </c>
      <c r="B7" s="13">
        <v>1000</v>
      </c>
    </row>
    <row r="8" spans="1:2" x14ac:dyDescent="0.25">
      <c r="A8" s="13" t="s">
        <v>468</v>
      </c>
      <c r="B8" s="14">
        <f>IF(Strategies!$L$3="",Calculations!$B$4,Strategies!$L$3)</f>
        <v>0.35</v>
      </c>
    </row>
    <row r="9" spans="1:2" x14ac:dyDescent="0.25">
      <c r="A9" s="13" t="s">
        <v>469</v>
      </c>
      <c r="B9" s="16">
        <f>Strategies!$E$3</f>
        <v>120000</v>
      </c>
    </row>
    <row r="10" spans="1:2" x14ac:dyDescent="0.25">
      <c r="A10" s="13" t="s">
        <v>470</v>
      </c>
      <c r="B10" s="16">
        <f>ROUND(Calculations!$B$9*Calculations!$B$8,0)</f>
        <v>42000</v>
      </c>
    </row>
    <row r="11" spans="1:2" x14ac:dyDescent="0.25">
      <c r="A11" s="13" t="s">
        <v>471</v>
      </c>
      <c r="B11" s="16">
        <f>ROUND((Calculations!$B$9-Strategies!$J$3*Calculations!$B$5)*Calculations!$B$8,0)</f>
        <v>33600</v>
      </c>
    </row>
    <row r="12" spans="1:2" x14ac:dyDescent="0.25">
      <c r="A12" s="13" t="s">
        <v>472</v>
      </c>
      <c r="B12" s="14">
        <f>IF(Strategies!$L$4="",Calculations!$B$4,Strategies!$L$4)</f>
        <v>0.35</v>
      </c>
    </row>
    <row r="13" spans="1:2" x14ac:dyDescent="0.25">
      <c r="A13" s="13" t="s">
        <v>473</v>
      </c>
      <c r="B13" s="16">
        <f>Rules!$B$13</f>
        <v>8750</v>
      </c>
    </row>
    <row r="14" spans="1:2" x14ac:dyDescent="0.25">
      <c r="A14" s="13" t="s">
        <v>474</v>
      </c>
      <c r="B14" s="16">
        <f>ROUND(Calculations!$B$13*Calculations!$B$12,0)</f>
        <v>3063</v>
      </c>
    </row>
    <row r="15" spans="1:2" x14ac:dyDescent="0.25">
      <c r="A15" s="13" t="s">
        <v>475</v>
      </c>
      <c r="B15" s="14">
        <f>IF(Strategies!$L$5="",Calculations!$B$4,Strategies!$L$5)</f>
        <v>0.24</v>
      </c>
    </row>
    <row r="16" spans="1:2" x14ac:dyDescent="0.25">
      <c r="A16" s="13" t="s">
        <v>476</v>
      </c>
      <c r="B16" s="16">
        <f>Strategies!$E$5</f>
        <v>36000</v>
      </c>
    </row>
    <row r="17" spans="1:2" x14ac:dyDescent="0.25">
      <c r="A17" s="13" t="s">
        <v>477</v>
      </c>
      <c r="B17" s="16">
        <f>ROUND(Calculations!$B$16*Calculations!$B$15,0)</f>
        <v>8640</v>
      </c>
    </row>
    <row r="18" spans="1:2" x14ac:dyDescent="0.25">
      <c r="A18" s="13" t="s">
        <v>478</v>
      </c>
      <c r="B18" s="14">
        <f>IF(Strategies!$L$6="",Calculations!$B$4,Strategies!$L$6)</f>
        <v>0.35</v>
      </c>
    </row>
    <row r="19" spans="1:2" x14ac:dyDescent="0.25">
      <c r="A19" s="13" t="s">
        <v>479</v>
      </c>
      <c r="B19" s="16">
        <f>Strategies!$G$6</f>
        <v>8205</v>
      </c>
    </row>
    <row r="20" spans="1:2" x14ac:dyDescent="0.25">
      <c r="A20" s="13" t="s">
        <v>480</v>
      </c>
      <c r="B20" s="16">
        <f>Strategies!$H$6</f>
        <v>3981</v>
      </c>
    </row>
    <row r="21" spans="1:2" x14ac:dyDescent="0.25">
      <c r="A21" s="13" t="s">
        <v>481</v>
      </c>
      <c r="B21" s="16">
        <f>ROUND(Calculations!$B$20*Calculations!$B$18,0)</f>
        <v>1393</v>
      </c>
    </row>
    <row r="22" spans="1:2" x14ac:dyDescent="0.25">
      <c r="A22" s="13" t="s">
        <v>482</v>
      </c>
      <c r="B22" s="14">
        <f>IF(Strategies!$L$7="",Calculations!$B$4,Strategies!$L$7)</f>
        <v>0.35</v>
      </c>
    </row>
    <row r="23" spans="1:2" x14ac:dyDescent="0.25">
      <c r="A23" s="13" t="s">
        <v>483</v>
      </c>
      <c r="B23" s="16">
        <f>Strategies!$E$7</f>
        <v>8340</v>
      </c>
    </row>
    <row r="24" spans="1:2" x14ac:dyDescent="0.25">
      <c r="A24" s="13" t="s">
        <v>484</v>
      </c>
      <c r="B24" s="16">
        <f>ROUND(Calculations!$B$23*Calculations!$B$22,0)</f>
        <v>2919</v>
      </c>
    </row>
    <row r="25" spans="1:2" x14ac:dyDescent="0.25">
      <c r="A25" s="13" t="s">
        <v>485</v>
      </c>
      <c r="B25" s="16">
        <f>ROUND((Calculations!$B$23-Strategies!$J$7*Calculations!$B$5)*Calculations!$B$22,0)</f>
        <v>2335</v>
      </c>
    </row>
    <row r="26" spans="1:2" x14ac:dyDescent="0.25">
      <c r="A26" s="13" t="s">
        <v>486</v>
      </c>
      <c r="B26" s="14">
        <f>IF(Strategies!$L$8="",Calculations!$B$4,Strategies!$L$8)</f>
        <v>0.35</v>
      </c>
    </row>
    <row r="27" spans="1:2" x14ac:dyDescent="0.25">
      <c r="A27" s="13" t="s">
        <v>487</v>
      </c>
      <c r="B27" s="16">
        <f>Strategies!$E$8</f>
        <v>21000</v>
      </c>
    </row>
    <row r="28" spans="1:2" x14ac:dyDescent="0.25">
      <c r="A28" s="13" t="s">
        <v>488</v>
      </c>
      <c r="B28" s="16">
        <f>ROUND(Calculations!$B$27*Calculations!$B$26,0)</f>
        <v>7350</v>
      </c>
    </row>
    <row r="29" spans="1:2" x14ac:dyDescent="0.25">
      <c r="A29" s="13" t="s">
        <v>489</v>
      </c>
      <c r="B29" s="16">
        <f>ROUND((Calculations!$B$27-Strategies!$J$8*Calculations!$B$5)*Calculations!$B$26,0)</f>
        <v>5880</v>
      </c>
    </row>
    <row r="30" spans="1:2" x14ac:dyDescent="0.25">
      <c r="A30" s="13" t="s">
        <v>490</v>
      </c>
      <c r="B30" s="14">
        <f>IF(Strategies!$L$9="",Calculations!$B$4,Strategies!$L$9)</f>
        <v>0.35</v>
      </c>
    </row>
    <row r="31" spans="1:2" x14ac:dyDescent="0.25">
      <c r="A31" s="13" t="s">
        <v>491</v>
      </c>
      <c r="B31" s="16">
        <f>Strategies!$E$9</f>
        <v>30000</v>
      </c>
    </row>
    <row r="32" spans="1:2" x14ac:dyDescent="0.25">
      <c r="A32" s="13" t="s">
        <v>492</v>
      </c>
      <c r="B32" s="16">
        <f>ROUND(Calculations!$B$31*Calculations!$B$30,0)</f>
        <v>10500</v>
      </c>
    </row>
    <row r="33" spans="1:2" x14ac:dyDescent="0.25">
      <c r="A33" s="13" t="s">
        <v>493</v>
      </c>
      <c r="B33" s="16">
        <f>ROUND((Calculations!$B$31-Strategies!$J$9*Calculations!$B$5)*Calculations!$B$30,0)</f>
        <v>8400</v>
      </c>
    </row>
    <row r="34" spans="1:2" x14ac:dyDescent="0.25">
      <c r="A34" s="13" t="s">
        <v>494</v>
      </c>
      <c r="B34" s="16">
        <f>Strategies!$G$9</f>
        <v>1046</v>
      </c>
    </row>
    <row r="35" spans="1:2" x14ac:dyDescent="0.25">
      <c r="A35" s="13" t="s">
        <v>495</v>
      </c>
      <c r="B35" s="14">
        <f>IF(Strategies!$L$10="",Calculations!$B$4,Strategies!$L$10)</f>
        <v>0.35</v>
      </c>
    </row>
    <row r="36" spans="1:2" x14ac:dyDescent="0.25">
      <c r="A36" s="13" t="s">
        <v>496</v>
      </c>
      <c r="B36" s="16">
        <f>Strategies!$E$10</f>
        <v>400000</v>
      </c>
    </row>
    <row r="37" spans="1:2" x14ac:dyDescent="0.25">
      <c r="A37" s="13" t="s">
        <v>497</v>
      </c>
      <c r="B37" s="16">
        <f>ROUND(Calculations!$B$36*Calculations!$B$35,0)</f>
        <v>140000</v>
      </c>
    </row>
    <row r="38" spans="1:2" x14ac:dyDescent="0.25">
      <c r="A38" s="13" t="s">
        <v>498</v>
      </c>
      <c r="B38" s="16">
        <f>ROUND((Calculations!$B$36-Strategies!$J$10*Calculations!$B$5)*Calculations!$B$35,0)</f>
        <v>112000</v>
      </c>
    </row>
    <row r="39" spans="1:2" x14ac:dyDescent="0.25">
      <c r="A39" s="13" t="s">
        <v>499</v>
      </c>
      <c r="B39" s="14">
        <f>IF(Strategies!$L$11="",Calculations!$B$4,Strategies!$L$11)</f>
        <v>0.35</v>
      </c>
    </row>
    <row r="40" spans="1:2" x14ac:dyDescent="0.25">
      <c r="A40" s="13" t="s">
        <v>500</v>
      </c>
      <c r="B40" s="14">
        <f>IF(Strategies!$L$12="",Calculations!$B$4,Strategies!$L$12)</f>
        <v>0.35</v>
      </c>
    </row>
    <row r="41" spans="1:2" x14ac:dyDescent="0.25">
      <c r="A41" s="13" t="s">
        <v>501</v>
      </c>
      <c r="B41" s="16">
        <f>Strategies!$E$12</f>
        <v>18000</v>
      </c>
    </row>
    <row r="42" spans="1:2" x14ac:dyDescent="0.25">
      <c r="A42" s="13" t="s">
        <v>502</v>
      </c>
      <c r="B42" s="16">
        <f>ROUND(Calculations!$B$41*Calculations!$B$40,0)</f>
        <v>6300</v>
      </c>
    </row>
    <row r="43" spans="1:2" x14ac:dyDescent="0.25">
      <c r="A43" s="13" t="s">
        <v>503</v>
      </c>
      <c r="B43" s="16">
        <f>ROUND((Calculations!$B$41-Strategies!$J$12*Calculations!$B$5)*Calculations!$B$40,0)</f>
        <v>5040</v>
      </c>
    </row>
    <row r="44" spans="1:2" x14ac:dyDescent="0.25">
      <c r="A44" s="13" t="s">
        <v>504</v>
      </c>
      <c r="B44" s="16">
        <f>Strategies!$G$12</f>
        <v>632</v>
      </c>
    </row>
    <row r="45" spans="1:2" x14ac:dyDescent="0.25">
      <c r="A45" s="13" t="s">
        <v>505</v>
      </c>
      <c r="B45" s="14">
        <f>IF(Strategies!$L$13="",Calculations!$B$4,Strategies!$L$13)</f>
        <v>0.35</v>
      </c>
    </row>
    <row r="46" spans="1:2" x14ac:dyDescent="0.25">
      <c r="A46" s="13" t="s">
        <v>506</v>
      </c>
      <c r="B46" s="16">
        <f>Strategies!$F$13</f>
        <v>5250</v>
      </c>
    </row>
    <row r="47" spans="1:2" x14ac:dyDescent="0.25">
      <c r="A47" s="13" t="s">
        <v>507</v>
      </c>
      <c r="B47" s="14">
        <f>IF(Strategies!$L$14="",Calculations!$B$4,Strategies!$L$14)</f>
        <v>0.35</v>
      </c>
    </row>
    <row r="48" spans="1:2" x14ac:dyDescent="0.25">
      <c r="A48" s="13" t="s">
        <v>508</v>
      </c>
      <c r="B48" s="14">
        <f>IF(Strategies!$L$15="",Calculations!$B$4,Strategies!$L$15)</f>
        <v>0.35</v>
      </c>
    </row>
    <row r="49" spans="1:2" x14ac:dyDescent="0.25">
      <c r="A49" s="13" t="s">
        <v>509</v>
      </c>
      <c r="B49" s="16">
        <f>Strategies!$E$15</f>
        <v>70000</v>
      </c>
    </row>
    <row r="50" spans="1:2" x14ac:dyDescent="0.25">
      <c r="A50" s="13" t="s">
        <v>510</v>
      </c>
      <c r="B50" s="16">
        <f>ROUND(Calculations!$B$49*Calculations!$B$48,0)</f>
        <v>24500</v>
      </c>
    </row>
    <row r="51" spans="1:2" x14ac:dyDescent="0.25">
      <c r="A51" s="13" t="s">
        <v>511</v>
      </c>
      <c r="B51" s="16">
        <f>ROUND((Calculations!$B$49-Strategies!$J$15*Calculations!$B$5)*Calculations!$B$48,0)</f>
        <v>21875</v>
      </c>
    </row>
    <row r="52" spans="1:2" x14ac:dyDescent="0.25">
      <c r="A52" s="13" t="s">
        <v>512</v>
      </c>
      <c r="B52" s="14">
        <f>IF(Strategies!$L$16="",Calculations!$B$4,Strategies!$L$16)</f>
        <v>0.35</v>
      </c>
    </row>
    <row r="53" spans="1:2" x14ac:dyDescent="0.25">
      <c r="A53" s="13" t="s">
        <v>513</v>
      </c>
      <c r="B53" s="16">
        <f>Strategies!$E$16</f>
        <v>72250</v>
      </c>
    </row>
    <row r="54" spans="1:2" x14ac:dyDescent="0.25">
      <c r="A54" s="13" t="s">
        <v>514</v>
      </c>
      <c r="B54" s="16">
        <f>ROUND(Calculations!$B$53*Calculations!$B$52,0)</f>
        <v>25288</v>
      </c>
    </row>
    <row r="55" spans="1:2" x14ac:dyDescent="0.25">
      <c r="A55" s="13" t="s">
        <v>515</v>
      </c>
      <c r="B55" s="16">
        <f>ROUND((Calculations!$B$53-Strategies!$J$16*Calculations!$B$5)*Calculations!$B$52,0)</f>
        <v>20230</v>
      </c>
    </row>
    <row r="56" spans="1:2" x14ac:dyDescent="0.25">
      <c r="A56" s="11" t="s">
        <v>516</v>
      </c>
    </row>
    <row r="57" spans="1:2" x14ac:dyDescent="0.25">
      <c r="A57" s="13" t="s">
        <v>517</v>
      </c>
      <c r="B57" s="13">
        <f>1-0/Calculations!$B$7</f>
        <v>1</v>
      </c>
    </row>
    <row r="58" spans="1:2" x14ac:dyDescent="0.25">
      <c r="A58" s="13" t="s">
        <v>518</v>
      </c>
      <c r="B58" s="13">
        <f>1-1/Calculations!$B$7</f>
        <v>0.999</v>
      </c>
    </row>
    <row r="59" spans="1:2" x14ac:dyDescent="0.25">
      <c r="A59" s="13" t="s">
        <v>519</v>
      </c>
      <c r="B59" s="13">
        <f>1-2/Calculations!$B$7</f>
        <v>0.998</v>
      </c>
    </row>
    <row r="60" spans="1:2" x14ac:dyDescent="0.25">
      <c r="A60" s="13" t="s">
        <v>520</v>
      </c>
      <c r="B60" s="13">
        <f>1-3/Calculations!$B$7+IF(OR('Your Profile'!$D$10="Sole proprietor or single-member LLC",'Your Profile'!$D$10="Partnership or multi-member LLC"),3,0)+IF(OR('Your Profile'!$D$10="S corporation",'Your Profile'!$D$10="C corporation"),-2,0)</f>
        <v>-1.0030000000000001</v>
      </c>
    </row>
    <row r="61" spans="1:2" x14ac:dyDescent="0.25">
      <c r="A61" s="13" t="s">
        <v>521</v>
      </c>
      <c r="B61" s="13">
        <f>1-4/Calculations!$B$7+IF(OR('Your Profile'!$D$10="S corporation",'Your Profile'!$D$10="C corporation"),3,0)+IF(OR('Your Profile'!$D$10="Sole proprietor or single-member LLC",'Your Profile'!$D$10="Partnership or multi-member LLC"),-2,0)</f>
        <v>3.996</v>
      </c>
    </row>
    <row r="62" spans="1:2" x14ac:dyDescent="0.25">
      <c r="A62" s="13" t="s">
        <v>522</v>
      </c>
      <c r="B62" s="13">
        <f>1-5/Calculations!$B$7+IF(OR('Your Profile'!$D$10="Partnership or multi-member LLC",'Your Profile'!$D$10="S corporation",'Your Profile'!$D$10="C corporation"),3,0)+IF('Your Profile'!$D$10="Sole proprietor or single-member LLC",-2,0)</f>
        <v>3.9950000000000001</v>
      </c>
    </row>
    <row r="63" spans="1:2" x14ac:dyDescent="0.25">
      <c r="A63" s="13" t="s">
        <v>523</v>
      </c>
      <c r="B63" s="13">
        <f>1-6/Calculations!$B$7+IF(OR('Your Profile'!$D$10="Sole proprietor or single-member LLC",'Your Profile'!$D$10="Partnership or multi-member LLC"),3,0)+IF(OR('Your Profile'!$D$10="S corporation",'Your Profile'!$D$10="C corporation"),-2,0)</f>
        <v>-1.006</v>
      </c>
    </row>
    <row r="64" spans="1:2" x14ac:dyDescent="0.25">
      <c r="A64" s="13" t="s">
        <v>524</v>
      </c>
      <c r="B64" s="13">
        <f>1-7/Calculations!$B$7+IF(OR('Your Profile'!$D$12="I own my premises",'Your Profile'!$D$12="Both staff and premises"),3,0)</f>
        <v>0.99299999999999999</v>
      </c>
    </row>
    <row r="65" spans="1:2" x14ac:dyDescent="0.25">
      <c r="A65" s="13" t="s">
        <v>525</v>
      </c>
      <c r="B65" s="13">
        <f>1-8/Calculations!$B$7+IF(OR('Your Profile'!$D$12="I own my premises",'Your Profile'!$D$12="Both staff and premises"),3,0)</f>
        <v>0.99199999999999999</v>
      </c>
    </row>
    <row r="66" spans="1:2" x14ac:dyDescent="0.25">
      <c r="A66" s="13" t="s">
        <v>526</v>
      </c>
      <c r="B66" s="13">
        <f>1-9/Calculations!$B$7</f>
        <v>0.99099999999999999</v>
      </c>
    </row>
    <row r="67" spans="1:2" x14ac:dyDescent="0.25">
      <c r="A67" s="13" t="s">
        <v>527</v>
      </c>
      <c r="B67" s="13">
        <f>1-10/Calculations!$B$7+IF(OR('Your Profile'!$D$12="Me plus staff",'Your Profile'!$D$12="Both staff and premises"),3,0)</f>
        <v>3.99</v>
      </c>
    </row>
    <row r="68" spans="1:2" x14ac:dyDescent="0.25">
      <c r="A68" s="13" t="s">
        <v>528</v>
      </c>
      <c r="B68" s="13">
        <f>1-11/Calculations!$B$7+IF(OR('Your Profile'!$D$11="$400,000 to $999,999",'Your Profile'!$D$11="$1 million or more"),3,0)</f>
        <v>3.9889999999999999</v>
      </c>
    </row>
    <row r="69" spans="1:2" x14ac:dyDescent="0.25">
      <c r="A69" s="13" t="s">
        <v>529</v>
      </c>
      <c r="B69" s="13">
        <f>1-12/Calculations!$B$7+IF(OR('Your Profile'!$D$11="$400,000 to $999,999",'Your Profile'!$D$11="$1 million or more"),3,0)+IF(OR('Your Profile'!$D$12="Me plus staff",'Your Profile'!$D$12="Both staff and premises"),-8,0)</f>
        <v>-4.0120000000000005</v>
      </c>
    </row>
    <row r="70" spans="1:2" x14ac:dyDescent="0.25">
      <c r="A70" s="13" t="s">
        <v>530</v>
      </c>
      <c r="B70" s="13">
        <f>1-13/Calculations!$B$7+IF(OR('Your Profile'!$D$11="$400,000 to $999,999",'Your Profile'!$D$11="$1 million or more"),3,0)</f>
        <v>3.9870000000000001</v>
      </c>
    </row>
    <row r="71" spans="1:2" x14ac:dyDescent="0.25">
      <c r="A71" s="11" t="s">
        <v>531</v>
      </c>
    </row>
    <row r="72" spans="1:2" x14ac:dyDescent="0.25">
      <c r="A72" s="13" t="s">
        <v>532</v>
      </c>
      <c r="B72" s="13">
        <f>IFERROR(MATCH(LARGE(CHOOSE({1,2,3,4,5,6,7,8,9,10,11,12,13,14},Calculations!$B$57,Calculations!$B$58,Calculations!$B$59,Calculations!$B$60,Calculations!$B$61,Calculations!$B$62,Calculations!$B$63,Calculations!$B$64,Calculations!$B$65,Calculations!$B$66,Calculations!$B$67,Calculations!$B$68,Calculations!$B$69,Calculations!$B$70),1),CHOOSE({1,2,3,4,5,6,7,8,9,10,11,12,13,14},Calculations!$B$57,Calculations!$B$58,Calculations!$B$59,Calculations!$B$60,Calculations!$B$61,Calculations!$B$62,Calculations!$B$63,Calculations!$B$64,Calculations!$B$65,Calculations!$B$66,Calculations!$B$67,Calculations!$B$68,Calculations!$B$69,Calculations!$B$70),0),0)</f>
        <v>5</v>
      </c>
    </row>
    <row r="73" spans="1:2" x14ac:dyDescent="0.25">
      <c r="A73" s="13" t="s">
        <v>533</v>
      </c>
      <c r="B73" s="13">
        <f>IFERROR(MATCH(LARGE(CHOOSE({1,2,3,4,5,6,7,8,9,10,11,12,13,14},Calculations!$B$57,Calculations!$B$58,Calculations!$B$59,Calculations!$B$60,Calculations!$B$61,Calculations!$B$62,Calculations!$B$63,Calculations!$B$64,Calculations!$B$65,Calculations!$B$66,Calculations!$B$67,Calculations!$B$68,Calculations!$B$69,Calculations!$B$70),2),CHOOSE({1,2,3,4,5,6,7,8,9,10,11,12,13,14},Calculations!$B$57,Calculations!$B$58,Calculations!$B$59,Calculations!$B$60,Calculations!$B$61,Calculations!$B$62,Calculations!$B$63,Calculations!$B$64,Calculations!$B$65,Calculations!$B$66,Calculations!$B$67,Calculations!$B$68,Calculations!$B$69,Calculations!$B$70),0),0)</f>
        <v>6</v>
      </c>
    </row>
    <row r="74" spans="1:2" x14ac:dyDescent="0.25">
      <c r="A74" s="13" t="s">
        <v>534</v>
      </c>
      <c r="B74" s="13">
        <f>IFERROR(MATCH(LARGE(CHOOSE({1,2,3,4,5,6,7,8,9,10,11,12,13,14},Calculations!$B$57,Calculations!$B$58,Calculations!$B$59,Calculations!$B$60,Calculations!$B$61,Calculations!$B$62,Calculations!$B$63,Calculations!$B$64,Calculations!$B$65,Calculations!$B$66,Calculations!$B$67,Calculations!$B$68,Calculations!$B$69,Calculations!$B$70),3),CHOOSE({1,2,3,4,5,6,7,8,9,10,11,12,13,14},Calculations!$B$57,Calculations!$B$58,Calculations!$B$59,Calculations!$B$60,Calculations!$B$61,Calculations!$B$62,Calculations!$B$63,Calculations!$B$64,Calculations!$B$65,Calculations!$B$66,Calculations!$B$67,Calculations!$B$68,Calculations!$B$69,Calculations!$B$70),0),0)</f>
        <v>11</v>
      </c>
    </row>
    <row r="75" spans="1:2" x14ac:dyDescent="0.25">
      <c r="A75" s="13" t="s">
        <v>535</v>
      </c>
      <c r="B75" s="13">
        <f>IFERROR(MATCH(LARGE(CHOOSE({1,2,3,4,5,6,7,8,9,10,11,12,13,14},Calculations!$B$57,Calculations!$B$58,Calculations!$B$59,Calculations!$B$60,Calculations!$B$61,Calculations!$B$62,Calculations!$B$63,Calculations!$B$64,Calculations!$B$65,Calculations!$B$66,Calculations!$B$67,Calculations!$B$68,Calculations!$B$69,Calculations!$B$70),4),CHOOSE({1,2,3,4,5,6,7,8,9,10,11,12,13,14},Calculations!$B$57,Calculations!$B$58,Calculations!$B$59,Calculations!$B$60,Calculations!$B$61,Calculations!$B$62,Calculations!$B$63,Calculations!$B$64,Calculations!$B$65,Calculations!$B$66,Calculations!$B$67,Calculations!$B$68,Calculations!$B$69,Calculations!$B$70),0),0)</f>
        <v>12</v>
      </c>
    </row>
    <row r="76" spans="1:2" x14ac:dyDescent="0.25">
      <c r="A76" s="13" t="s">
        <v>536</v>
      </c>
      <c r="B76" s="13">
        <f>IFERROR(MATCH(LARGE(CHOOSE({1,2,3,4,5,6,7,8,9,10,11,12,13,14},Calculations!$B$57,Calculations!$B$58,Calculations!$B$59,Calculations!$B$60,Calculations!$B$61,Calculations!$B$62,Calculations!$B$63,Calculations!$B$64,Calculations!$B$65,Calculations!$B$66,Calculations!$B$67,Calculations!$B$68,Calculations!$B$69,Calculations!$B$70),5),CHOOSE({1,2,3,4,5,6,7,8,9,10,11,12,13,14},Calculations!$B$57,Calculations!$B$58,Calculations!$B$59,Calculations!$B$60,Calculations!$B$61,Calculations!$B$62,Calculations!$B$63,Calculations!$B$64,Calculations!$B$65,Calculations!$B$66,Calculations!$B$67,Calculations!$B$68,Calculations!$B$69,Calculations!$B$70),0),0)</f>
        <v>14</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67"/>
  <sheetViews>
    <sheetView workbookViewId="0"/>
  </sheetViews>
  <sheetFormatPr defaultRowHeight="15" x14ac:dyDescent="0.25"/>
  <cols>
    <col min="1" max="1" width="88" customWidth="1"/>
    <col min="2" max="2" width="46" customWidth="1"/>
  </cols>
  <sheetData>
    <row r="1" spans="1:2" x14ac:dyDescent="0.25">
      <c r="A1" s="11" t="s">
        <v>537</v>
      </c>
    </row>
    <row r="3" spans="1:2" x14ac:dyDescent="0.25">
      <c r="A3" s="12" t="s">
        <v>538</v>
      </c>
      <c r="B3" s="12" t="s">
        <v>539</v>
      </c>
    </row>
    <row r="4" spans="1:2" x14ac:dyDescent="0.25">
      <c r="A4" s="13" t="s">
        <v>540</v>
      </c>
      <c r="B4" s="11" t="str">
        <f>IF(OR(Calculations!$B$4=0.1,Calculations!$B$4=0.12,Calculations!$B$4=0.22,Calculations!$B$4=0.24,Calculations!$B$4=0.32,Calculations!$B$4=0.35,Calculations!$B$4=0.37),"OK","FAIL")</f>
        <v>OK</v>
      </c>
    </row>
    <row r="5" spans="1:2" x14ac:dyDescent="0.25">
      <c r="A5" s="13" t="s">
        <v>541</v>
      </c>
      <c r="B5" s="11" t="str">
        <f>IF(AND(Calculations!$B$5&gt;0,Calculations!$B$5&lt;1),"OK","FAIL")</f>
        <v>OK</v>
      </c>
    </row>
    <row r="6" spans="1:2" x14ac:dyDescent="0.25">
      <c r="A6" s="13" t="s">
        <v>542</v>
      </c>
      <c r="B6" s="11" t="str">
        <f>IF(EXACT(Lists!$A$3,"Sole proprietor or single-member LLC"),"OK","FAIL")</f>
        <v>OK</v>
      </c>
    </row>
    <row r="7" spans="1:2" x14ac:dyDescent="0.25">
      <c r="A7" s="13" t="s">
        <v>543</v>
      </c>
      <c r="B7" s="11" t="str">
        <f>IF(EXACT(Lists!$A$3,"Sole proprietor or single-member LLC"),"OK","FAIL")</f>
        <v>OK</v>
      </c>
    </row>
    <row r="8" spans="1:2" x14ac:dyDescent="0.25">
      <c r="A8" s="13" t="s">
        <v>544</v>
      </c>
      <c r="B8" s="11" t="str">
        <f>IF(EXACT(Lists!$A$4,"Partnership or multi-member LLC"),"OK","FAIL")</f>
        <v>OK</v>
      </c>
    </row>
    <row r="9" spans="1:2" x14ac:dyDescent="0.25">
      <c r="A9" s="13" t="s">
        <v>545</v>
      </c>
      <c r="B9" s="11" t="str">
        <f>IF(EXACT(Lists!$A$5,"S corporation"),"OK","FAIL")</f>
        <v>OK</v>
      </c>
    </row>
    <row r="10" spans="1:2" x14ac:dyDescent="0.25">
      <c r="A10" s="13" t="s">
        <v>546</v>
      </c>
      <c r="B10" s="11" t="str">
        <f>IF(EXACT(Lists!$A$6,"C corporation"),"OK","FAIL")</f>
        <v>OK</v>
      </c>
    </row>
    <row r="11" spans="1:2" x14ac:dyDescent="0.25">
      <c r="A11" s="13" t="s">
        <v>547</v>
      </c>
      <c r="B11" s="11" t="str">
        <f>IF(EXACT(Lists!$A$4,"Partnership or multi-member LLC"),"OK","FAIL")</f>
        <v>OK</v>
      </c>
    </row>
    <row r="12" spans="1:2" x14ac:dyDescent="0.25">
      <c r="A12" s="13" t="s">
        <v>548</v>
      </c>
      <c r="B12" s="11" t="str">
        <f>IF(EXACT(Lists!$A$5,"S corporation"),"OK","FAIL")</f>
        <v>OK</v>
      </c>
    </row>
    <row r="13" spans="1:2" x14ac:dyDescent="0.25">
      <c r="A13" s="13" t="s">
        <v>549</v>
      </c>
      <c r="B13" s="11" t="str">
        <f>IF(EXACT(Lists!$A$6,"C corporation"),"OK","FAIL")</f>
        <v>OK</v>
      </c>
    </row>
    <row r="14" spans="1:2" x14ac:dyDescent="0.25">
      <c r="A14" s="13" t="s">
        <v>550</v>
      </c>
      <c r="B14" s="11" t="str">
        <f>IF(EXACT(Lists!$B$5,"$400,000 to $999,999"),"OK","FAIL")</f>
        <v>OK</v>
      </c>
    </row>
    <row r="15" spans="1:2" x14ac:dyDescent="0.25">
      <c r="A15" s="13" t="s">
        <v>551</v>
      </c>
      <c r="B15" s="11" t="str">
        <f>IF(EXACT(Lists!$B$6,"$1 million or more"),"OK","FAIL")</f>
        <v>OK</v>
      </c>
    </row>
    <row r="16" spans="1:2" x14ac:dyDescent="0.25">
      <c r="A16" s="13" t="s">
        <v>552</v>
      </c>
      <c r="B16" s="11" t="str">
        <f>IF(EXACT(Lists!$C$4,"Me plus staff"),"OK","FAIL")</f>
        <v>OK</v>
      </c>
    </row>
    <row r="17" spans="1:2" x14ac:dyDescent="0.25">
      <c r="A17" s="13" t="s">
        <v>553</v>
      </c>
      <c r="B17" s="11" t="str">
        <f>IF(EXACT(Lists!$C$6,"Both staff and premises"),"OK","FAIL")</f>
        <v>OK</v>
      </c>
    </row>
    <row r="18" spans="1:2" x14ac:dyDescent="0.25">
      <c r="A18" s="13" t="s">
        <v>554</v>
      </c>
      <c r="B18" s="11" t="str">
        <f>IF(EXACT(Lists!$C$5,"I own my premises"),"OK","FAIL")</f>
        <v>OK</v>
      </c>
    </row>
    <row r="19" spans="1:2" x14ac:dyDescent="0.25">
      <c r="A19" s="13" t="s">
        <v>555</v>
      </c>
      <c r="B19" s="11" t="str">
        <f>IF(EXACT(Lists!$C$6,"Both staff and premises"),"OK","FAIL")</f>
        <v>OK</v>
      </c>
    </row>
    <row r="20" spans="1:2" x14ac:dyDescent="0.25">
      <c r="A20" s="13" t="s">
        <v>556</v>
      </c>
      <c r="B20" s="11" t="str">
        <f>IF(EXACT(Lists!$A$3,"Sole proprietor or single-member LLC"),"OK","FAIL")</f>
        <v>OK</v>
      </c>
    </row>
    <row r="21" spans="1:2" x14ac:dyDescent="0.25">
      <c r="A21" s="13" t="s">
        <v>557</v>
      </c>
      <c r="B21" s="11" t="str">
        <f>IF(EXACT(Lists!$A$4,"Partnership or multi-member LLC"),"OK","FAIL")</f>
        <v>OK</v>
      </c>
    </row>
    <row r="22" spans="1:2" x14ac:dyDescent="0.25">
      <c r="A22" s="13" t="s">
        <v>558</v>
      </c>
      <c r="B22" s="11" t="str">
        <f>IF(EXACT(Lists!$A$5,"S corporation"),"OK","FAIL")</f>
        <v>OK</v>
      </c>
    </row>
    <row r="23" spans="1:2" x14ac:dyDescent="0.25">
      <c r="A23" s="13" t="s">
        <v>559</v>
      </c>
      <c r="B23" s="11" t="str">
        <f>IF(EXACT(Lists!$A$6,"C corporation"),"OK","FAIL")</f>
        <v>OK</v>
      </c>
    </row>
    <row r="24" spans="1:2" x14ac:dyDescent="0.25">
      <c r="A24" s="13" t="s">
        <v>560</v>
      </c>
      <c r="B24" s="11" t="str">
        <f>IF(EXACT(Lists!$A$7,"Not sure"),"OK","FAIL")</f>
        <v>OK</v>
      </c>
    </row>
    <row r="25" spans="1:2" x14ac:dyDescent="0.25">
      <c r="A25" s="13" t="s">
        <v>561</v>
      </c>
      <c r="B25" s="11" t="str">
        <f>IF(COUNTA(Lists!$A$3:$A$13)=5,"OK","FAIL")</f>
        <v>OK</v>
      </c>
    </row>
    <row r="26" spans="1:2" x14ac:dyDescent="0.25">
      <c r="A26" s="13" t="s">
        <v>562</v>
      </c>
      <c r="B26" s="11" t="str">
        <f>IF(EXACT(Lists!$B$3,"Under $150,000"),"OK","FAIL")</f>
        <v>OK</v>
      </c>
    </row>
    <row r="27" spans="1:2" x14ac:dyDescent="0.25">
      <c r="A27" s="13" t="s">
        <v>563</v>
      </c>
      <c r="B27" s="11" t="str">
        <f>IF(EXACT(Lists!$B$4,"$150,000 to $399,999"),"OK","FAIL")</f>
        <v>OK</v>
      </c>
    </row>
    <row r="28" spans="1:2" x14ac:dyDescent="0.25">
      <c r="A28" s="13" t="s">
        <v>564</v>
      </c>
      <c r="B28" s="11" t="str">
        <f>IF(EXACT(Lists!$B$5,"$400,000 to $999,999"),"OK","FAIL")</f>
        <v>OK</v>
      </c>
    </row>
    <row r="29" spans="1:2" x14ac:dyDescent="0.25">
      <c r="A29" s="13" t="s">
        <v>565</v>
      </c>
      <c r="B29" s="11" t="str">
        <f>IF(EXACT(Lists!$B$6,"$1 million or more"),"OK","FAIL")</f>
        <v>OK</v>
      </c>
    </row>
    <row r="30" spans="1:2" x14ac:dyDescent="0.25">
      <c r="A30" s="13" t="s">
        <v>566</v>
      </c>
      <c r="B30" s="11" t="str">
        <f>IF(COUNTA(Lists!$B$3:$B$12)=4,"OK","FAIL")</f>
        <v>OK</v>
      </c>
    </row>
    <row r="31" spans="1:2" x14ac:dyDescent="0.25">
      <c r="A31" s="13" t="s">
        <v>567</v>
      </c>
      <c r="B31" s="11" t="str">
        <f>IF(EXACT(Lists!$C$3,"Just me"),"OK","FAIL")</f>
        <v>OK</v>
      </c>
    </row>
    <row r="32" spans="1:2" x14ac:dyDescent="0.25">
      <c r="A32" s="13" t="s">
        <v>568</v>
      </c>
      <c r="B32" s="11" t="str">
        <f>IF(EXACT(Lists!$C$4,"Me plus staff"),"OK","FAIL")</f>
        <v>OK</v>
      </c>
    </row>
    <row r="33" spans="1:2" x14ac:dyDescent="0.25">
      <c r="A33" s="13" t="s">
        <v>569</v>
      </c>
      <c r="B33" s="11" t="str">
        <f>IF(EXACT(Lists!$C$5,"I own my premises"),"OK","FAIL")</f>
        <v>OK</v>
      </c>
    </row>
    <row r="34" spans="1:2" x14ac:dyDescent="0.25">
      <c r="A34" s="13" t="s">
        <v>570</v>
      </c>
      <c r="B34" s="11" t="str">
        <f>IF(EXACT(Lists!$C$6,"Both staff and premises"),"OK","FAIL")</f>
        <v>OK</v>
      </c>
    </row>
    <row r="35" spans="1:2" x14ac:dyDescent="0.25">
      <c r="A35" s="13" t="s">
        <v>571</v>
      </c>
      <c r="B35" s="11" t="str">
        <f>IF(COUNTA(Lists!$C$3:$C$12)=4,"OK","FAIL")</f>
        <v>OK</v>
      </c>
    </row>
    <row r="36" spans="1:2" x14ac:dyDescent="0.25">
      <c r="A36" s="13" t="s">
        <v>572</v>
      </c>
      <c r="B36" s="11" t="str">
        <f>IF(ROUND(Calculations!$B$9*Calculations!$B$8,0)=Calculations!$B$10,"OK","FAIL")</f>
        <v>OK</v>
      </c>
    </row>
    <row r="37" spans="1:2" x14ac:dyDescent="0.25">
      <c r="A37" s="13" t="s">
        <v>573</v>
      </c>
      <c r="B37" s="11" t="str">
        <f>IF(Calculations!$B$11&lt;Calculations!$B$10,"OK","FAIL")</f>
        <v>OK</v>
      </c>
    </row>
    <row r="38" spans="1:2" x14ac:dyDescent="0.25">
      <c r="A38" s="13" t="s">
        <v>574</v>
      </c>
      <c r="B38" s="11" t="str">
        <f>IF(Strategies!$J$3&lt;=Calculations!$B$9,"OK","FAIL")</f>
        <v>OK</v>
      </c>
    </row>
    <row r="39" spans="1:2" x14ac:dyDescent="0.25">
      <c r="A39" s="13" t="s">
        <v>575</v>
      </c>
      <c r="B39" s="11" t="str">
        <f>IF(ROUND(Calculations!$B$13*Calculations!$B$12,0)=Calculations!$B$14,"OK","FAIL")</f>
        <v>OK</v>
      </c>
    </row>
    <row r="40" spans="1:2" x14ac:dyDescent="0.25">
      <c r="A40" s="13" t="s">
        <v>576</v>
      </c>
      <c r="B40" s="11" t="str">
        <f>IF(ROUND(Calculations!$B$16*Calculations!$B$15,0)=Calculations!$B$17,"OK","FAIL")</f>
        <v>OK</v>
      </c>
    </row>
    <row r="41" spans="1:2" x14ac:dyDescent="0.25">
      <c r="A41" s="13" t="s">
        <v>577</v>
      </c>
      <c r="B41" s="11" t="str">
        <f>IF(ROUND(Calculations!$B$20*Calculations!$B$18,0)=Calculations!$B$21,"OK","FAIL")</f>
        <v>OK</v>
      </c>
    </row>
    <row r="42" spans="1:2" x14ac:dyDescent="0.25">
      <c r="A42" s="13" t="s">
        <v>578</v>
      </c>
      <c r="B42" s="11" t="str">
        <f>IF(Calculations!$B$21&lt;Calculations!$B$19,"OK","FAIL")</f>
        <v>OK</v>
      </c>
    </row>
    <row r="43" spans="1:2" x14ac:dyDescent="0.25">
      <c r="A43" s="13" t="s">
        <v>579</v>
      </c>
      <c r="B43" s="11" t="str">
        <f>IF(ROUND(Calculations!$B$23*Calculations!$B$22,0)=Calculations!$B$24,"OK","FAIL")</f>
        <v>OK</v>
      </c>
    </row>
    <row r="44" spans="1:2" x14ac:dyDescent="0.25">
      <c r="A44" s="13" t="s">
        <v>580</v>
      </c>
      <c r="B44" s="11" t="str">
        <f>IF(Calculations!$B$25&lt;Calculations!$B$24,"OK","FAIL")</f>
        <v>OK</v>
      </c>
    </row>
    <row r="45" spans="1:2" x14ac:dyDescent="0.25">
      <c r="A45" s="13" t="s">
        <v>581</v>
      </c>
      <c r="B45" s="11" t="str">
        <f>IF(Strategies!$J$7&lt;=Calculations!$B$23,"OK","FAIL")</f>
        <v>OK</v>
      </c>
    </row>
    <row r="46" spans="1:2" x14ac:dyDescent="0.25">
      <c r="A46" s="13" t="s">
        <v>582</v>
      </c>
      <c r="B46" s="11" t="str">
        <f>IF(ROUND(Calculations!$B$27*Calculations!$B$26,0)=Calculations!$B$28,"OK","FAIL")</f>
        <v>OK</v>
      </c>
    </row>
    <row r="47" spans="1:2" x14ac:dyDescent="0.25">
      <c r="A47" s="13" t="s">
        <v>583</v>
      </c>
      <c r="B47" s="11" t="str">
        <f>IF(Calculations!$B$29&lt;Calculations!$B$28,"OK","FAIL")</f>
        <v>OK</v>
      </c>
    </row>
    <row r="48" spans="1:2" x14ac:dyDescent="0.25">
      <c r="A48" s="13" t="s">
        <v>584</v>
      </c>
      <c r="B48" s="11" t="str">
        <f>IF(Strategies!$J$8&lt;=Calculations!$B$27,"OK","FAIL")</f>
        <v>OK</v>
      </c>
    </row>
    <row r="49" spans="1:2" x14ac:dyDescent="0.25">
      <c r="A49" s="13" t="s">
        <v>585</v>
      </c>
      <c r="B49" s="11" t="str">
        <f>IF(ROUND(Calculations!$B$31*Calculations!$B$30,0)=Calculations!$B$32,"OK","FAIL")</f>
        <v>OK</v>
      </c>
    </row>
    <row r="50" spans="1:2" x14ac:dyDescent="0.25">
      <c r="A50" s="13" t="s">
        <v>586</v>
      </c>
      <c r="B50" s="11" t="str">
        <f>IF(Calculations!$B$33&lt;Calculations!$B$32,"OK","FAIL")</f>
        <v>OK</v>
      </c>
    </row>
    <row r="51" spans="1:2" x14ac:dyDescent="0.25">
      <c r="A51" s="13" t="s">
        <v>587</v>
      </c>
      <c r="B51" s="11" t="str">
        <f>IF(Strategies!$J$9&lt;=Calculations!$B$31,"OK","FAIL")</f>
        <v>OK</v>
      </c>
    </row>
    <row r="52" spans="1:2" x14ac:dyDescent="0.25">
      <c r="A52" s="13" t="s">
        <v>588</v>
      </c>
      <c r="B52" s="11" t="str">
        <f>IF(ROUND(Calculations!$B$36*Calculations!$B$35,0)=Calculations!$B$37,"OK","FAIL")</f>
        <v>OK</v>
      </c>
    </row>
    <row r="53" spans="1:2" x14ac:dyDescent="0.25">
      <c r="A53" s="13" t="s">
        <v>589</v>
      </c>
      <c r="B53" s="11" t="str">
        <f>IF(Calculations!$B$38&lt;Calculations!$B$37,"OK","FAIL")</f>
        <v>OK</v>
      </c>
    </row>
    <row r="54" spans="1:2" x14ac:dyDescent="0.25">
      <c r="A54" s="13" t="s">
        <v>590</v>
      </c>
      <c r="B54" s="11" t="str">
        <f>IF(Strategies!$J$10&lt;=Calculations!$B$36,"OK","FAIL")</f>
        <v>OK</v>
      </c>
    </row>
    <row r="55" spans="1:2" x14ac:dyDescent="0.25">
      <c r="A55" s="13" t="s">
        <v>591</v>
      </c>
      <c r="B55" s="11" t="str">
        <f>IF(ROUND(Calculations!$B$41*Calculations!$B$40,0)=Calculations!$B$42,"OK","FAIL")</f>
        <v>OK</v>
      </c>
    </row>
    <row r="56" spans="1:2" x14ac:dyDescent="0.25">
      <c r="A56" s="13" t="s">
        <v>592</v>
      </c>
      <c r="B56" s="11" t="str">
        <f>IF(Calculations!$B$43&lt;Calculations!$B$42,"OK","FAIL")</f>
        <v>OK</v>
      </c>
    </row>
    <row r="57" spans="1:2" x14ac:dyDescent="0.25">
      <c r="A57" s="13" t="s">
        <v>593</v>
      </c>
      <c r="B57" s="11" t="str">
        <f>IF(Strategies!$J$12&lt;=Calculations!$B$41,"OK","FAIL")</f>
        <v>OK</v>
      </c>
    </row>
    <row r="58" spans="1:2" x14ac:dyDescent="0.25">
      <c r="A58" s="13" t="s">
        <v>594</v>
      </c>
      <c r="B58" s="11" t="str">
        <f>IF(Calculations!$B$46=Strategies!$F$13,"OK","FAIL")</f>
        <v>OK</v>
      </c>
    </row>
    <row r="59" spans="1:2" x14ac:dyDescent="0.25">
      <c r="A59" s="13" t="s">
        <v>595</v>
      </c>
      <c r="B59" s="11" t="str">
        <f>IF(AND(Strategies!$E$14="",Strategies!$F$14="",Strategies!$G$14=""),"OK","FAIL")</f>
        <v>OK</v>
      </c>
    </row>
    <row r="60" spans="1:2" x14ac:dyDescent="0.25">
      <c r="A60" s="13" t="s">
        <v>596</v>
      </c>
      <c r="B60" s="11" t="str">
        <f>IF(ROUND(Calculations!$B$49*Calculations!$B$48,0)=Calculations!$B$50,"OK","FAIL")</f>
        <v>OK</v>
      </c>
    </row>
    <row r="61" spans="1:2" x14ac:dyDescent="0.25">
      <c r="A61" s="13" t="s">
        <v>597</v>
      </c>
      <c r="B61" s="11" t="str">
        <f>IF(Calculations!$B$51&lt;Calculations!$B$50,"OK","FAIL")</f>
        <v>OK</v>
      </c>
    </row>
    <row r="62" spans="1:2" x14ac:dyDescent="0.25">
      <c r="A62" s="13" t="s">
        <v>598</v>
      </c>
      <c r="B62" s="11" t="str">
        <f>IF(Strategies!$J$15&lt;=Calculations!$B$49,"OK","FAIL")</f>
        <v>OK</v>
      </c>
    </row>
    <row r="63" spans="1:2" x14ac:dyDescent="0.25">
      <c r="A63" s="13" t="s">
        <v>599</v>
      </c>
      <c r="B63" s="11" t="str">
        <f>IF(ROUND(Calculations!$B$53*Calculations!$B$52,0)=Calculations!$B$54,"OK","FAIL")</f>
        <v>OK</v>
      </c>
    </row>
    <row r="64" spans="1:2" x14ac:dyDescent="0.25">
      <c r="A64" s="13" t="s">
        <v>600</v>
      </c>
      <c r="B64" s="11" t="str">
        <f>IF(Calculations!$B$55&lt;Calculations!$B$54,"OK","FAIL")</f>
        <v>OK</v>
      </c>
    </row>
    <row r="65" spans="1:2" x14ac:dyDescent="0.25">
      <c r="A65" s="13" t="s">
        <v>601</v>
      </c>
      <c r="B65" s="11" t="str">
        <f>IF(Strategies!$J$16&lt;=Calculations!$B$53,"OK","FAIL")</f>
        <v>OK</v>
      </c>
    </row>
    <row r="66" spans="1:2" x14ac:dyDescent="0.25">
      <c r="A66" s="13" t="s">
        <v>602</v>
      </c>
      <c r="B66" s="11" t="str">
        <f>IF(Calculations!$B$6=0,"OK",IF(OR(Calculations!$B$72=Calculations!$B$73,Calculations!$B$72=Calculations!$B$74,Calculations!$B$72=Calculations!$B$75,Calculations!$B$72=Calculations!$B$76,Calculations!$B$73=Calculations!$B$74,Calculations!$B$73=Calculations!$B$75,Calculations!$B$73=Calculations!$B$76,Calculations!$B$74=Calculations!$B$75,Calculations!$B$74=Calculations!$B$76,Calculations!$B$75=Calculations!$B$76),"FAIL","OK"))</f>
        <v>OK</v>
      </c>
    </row>
    <row r="67" spans="1:2" x14ac:dyDescent="0.25">
      <c r="A67" s="13" t="s">
        <v>603</v>
      </c>
      <c r="B67" s="11" t="str">
        <f>IF(Calculations!$B$6=0,"OK",IF(OR(Calculations!$B$72=0,Calculations!$B$73=0,Calculations!$B$74=0,Calculations!$B$75=0,Calculations!$B$76=0),"FAIL","OK"))</f>
        <v>OK</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Start Here</vt:lpstr>
      <vt:lpstr>Your Profile</vt:lpstr>
      <vt:lpstr>Your Five Opportunities</vt:lpstr>
      <vt:lpstr>Strategy Library</vt:lpstr>
      <vt:lpstr>How These Numbers Work</vt:lpstr>
      <vt:lpstr>Sources &amp; Notes</vt:lpstr>
      <vt:lpstr>Help &amp; Disclosures</vt:lpstr>
      <vt:lpstr>Rules</vt:lpstr>
      <vt:lpstr>Strategies</vt:lpstr>
      <vt:lpstr>Lists</vt:lpstr>
      <vt:lpstr>Calculations</vt:lpstr>
      <vt:lpstr>QA Checks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Powell United Financial Services, LLC</cp:lastModifiedBy>
  <dcterms:created xsi:type="dcterms:W3CDTF">2026-09-15T18:52:08Z</dcterms:created>
  <dcterms:modified xsi:type="dcterms:W3CDTF">2026-09-21T18:33:05Z</dcterms:modified>
</cp:coreProperties>
</file>