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powellunited-my.sharepoint.com/personal/admin_powellunited_com/Documents/Desktop/"/>
    </mc:Choice>
  </mc:AlternateContent>
  <xr:revisionPtr revIDLastSave="0" documentId="14_{2C5B157D-8518-41F1-A70C-2D3F97EB4465}" xr6:coauthVersionLast="47" xr6:coauthVersionMax="47" xr10:uidLastSave="{00000000-0000-0000-0000-000000000000}"/>
  <bookViews>
    <workbookView xWindow="30555" yWindow="2235" windowWidth="21600" windowHeight="11295" xr2:uid="{00000000-000D-0000-FFFF-FFFF00000000}"/>
  </bookViews>
  <sheets>
    <sheet name="1. Start Here" sheetId="1" r:id="rId1"/>
    <sheet name="2. Setup" sheetId="2" r:id="rId2"/>
    <sheet name="3. Accounts" sheetId="3" r:id="rId3"/>
    <sheet name="4. AI Assistant" sheetId="4" r:id="rId4"/>
    <sheet name="5. AI Import Staging" sheetId="5" r:id="rId5"/>
    <sheet name="6. Transactions" sheetId="6" r:id="rId6"/>
    <sheet name="7. Settlements" sheetId="7" r:id="rId7"/>
    <sheet name="8. Transfers" sheetId="8" r:id="rId8"/>
    <sheet name="9. Payroll Allocation" sheetId="9" r:id="rId9"/>
    <sheet name="10. Mileage Log" sheetId="10" r:id="rId10"/>
    <sheet name="11. Reconciliation" sheetId="11" r:id="rId11"/>
    <sheet name="12. Dashboard" sheetId="12" r:id="rId12"/>
    <sheet name="13. CPA Handoff" sheetId="13" r:id="rId13"/>
    <sheet name="14. Profit &amp; Loss" sheetId="14" r:id="rId14"/>
    <sheet name="Categories" sheetId="15" r:id="rId15"/>
    <sheet name="Rules" sheetId="16" r:id="rId16"/>
    <sheet name="Rule Exceptions" sheetId="17" r:id="rId17"/>
    <sheet name="Tax Rules" sheetId="18" r:id="rId18"/>
  </sheets>
  <definedNames>
    <definedName name="_xlnm._FilterDatabase" localSheetId="9" hidden="1">'10. Mileage Log'!$B$7:$J$307</definedName>
    <definedName name="_xlnm._FilterDatabase" localSheetId="10" hidden="1">'11. Reconciliation'!$B$7:$O$67</definedName>
    <definedName name="_xlnm._FilterDatabase" localSheetId="4" hidden="1">'5. AI Import Staging'!$B$9:$N$499</definedName>
    <definedName name="_xlnm._FilterDatabase" localSheetId="5" hidden="1">'6. Transactions'!$A$5:$Q$1005</definedName>
    <definedName name="_xlnm._FilterDatabase" localSheetId="6" hidden="1">'7. Settlements'!$B$7:$P$107</definedName>
    <definedName name="_xlnm._FilterDatabase" localSheetId="8" hidden="1">'9. Payroll Allocation'!$B$7:$I$207</definedName>
    <definedName name="_xlnm._FilterDatabase" localSheetId="14" hidden="1">Categories!$B$7:$G$98</definedName>
    <definedName name="_xlnm._FilterDatabase" localSheetId="16" hidden="1">'Rule Exceptions'!$B$6:$H$441</definedName>
    <definedName name="_xlnm._FilterDatabase" localSheetId="15" hidden="1">Rules!$B$7:$H$442</definedName>
    <definedName name="Acct_Name">'3. Accounts'!$B$8:$B$27</definedName>
    <definedName name="Acct_Type">'3. Accounts'!$C$8:$C$27</definedName>
    <definedName name="Cat_Name">Categories!$B$8:$B$98</definedName>
    <definedName name="Cat_Pick">Categories!$I$8:$I$112</definedName>
    <definedName name="Cat_Treatment">Categories!$C$8:$C$98</definedName>
    <definedName name="Pay_Cash">'9. Payroll Allocation'!$C$219:$C$230</definedName>
    <definedName name="Pay_Comp">'9. Payroll Allocation'!$B$219:$B$230</definedName>
    <definedName name="Pay_Exp">'9. Payroll Allocation'!$D$219:$D$230</definedName>
    <definedName name="Pay_Owner_Taxes">'9. Payroll Allocation'!$D$263</definedName>
    <definedName name="Pay_Owner_Wages">'9. Payroll Allocation'!$D$262</definedName>
    <definedName name="Pay_Run">'9. Payroll Allocation'!$B$8:$B$207</definedName>
    <definedName name="PL_Diff">'14. Profit &amp; Loss'!$J$135:$J$137</definedName>
    <definedName name="_xlnm.Print_Area" localSheetId="13">'14. Profit &amp; Loss'!$A$1:$P$148</definedName>
    <definedName name="_xlnm.Print_Titles" localSheetId="13">'14. Profit &amp; Loss'!$9:$9,'14. Profit &amp; Loss'!$B:$C</definedName>
    <definedName name="Rules_Active">Rules!$G$8:$G$442</definedName>
    <definedName name="Rules_Cat">Rules!$D$8:$D$442</definedName>
    <definedName name="Rules_Dir">Rules!$E$8:$E$442</definedName>
    <definedName name="Rules_Key">Rules!$C$8:$C$442</definedName>
    <definedName name="Rules_Pri">Rules!$B$8:$B$442</definedName>
    <definedName name="S1120_Caption">'Tax Rules'!$C$119:$C$132</definedName>
    <definedName name="S1120_Line">'Tax Rules'!$B$119:$B$132</definedName>
    <definedName name="S1120_Pilot">'Tax Rules'!$J$119:$J$132</definedName>
    <definedName name="SCL_Caption">'Tax Rules'!$C$105:$C$118</definedName>
    <definedName name="SCL_Line">'Tax Rules'!$B$105:$B$118</definedName>
    <definedName name="SCL_Pilot">'Tax Rules'!$J$105:$J$118</definedName>
    <definedName name="Stg_Acct">'5. AI Import Staging'!$D$10:$D$499</definedName>
    <definedName name="Stg_Date">'5. AI Import Staging'!$C$10:$C$499</definedName>
    <definedName name="Stg_Desc">'5. AI Import Staging'!$E$10:$E$499</definedName>
    <definedName name="Stg_In">'5. AI Import Staging'!$F$10:$F$499</definedName>
    <definedName name="Stg_Key">'5. AI Import Staging'!$K$10:$K$499</definedName>
    <definedName name="Stg_Out">'5. AI Import Staging'!$G$10:$G$499</definedName>
    <definedName name="TR_From">'Tax Rules'!$D$8:$D$100</definedName>
    <definedName name="TR_Id">'Tax Rules'!$M$8:$M$100</definedName>
    <definedName name="TR_To">'Tax Rules'!$E$8:$E$100</definedName>
    <definedName name="TR_Value">'Tax Rules'!$C$8:$C$100</definedName>
    <definedName name="Txn_Acct">'6. Transactions'!$C$6:$C$1005</definedName>
    <definedName name="Txn_Cat">'6. Transactions'!$J$6:$J$1005</definedName>
    <definedName name="Txn_Date">'6. Transactions'!$B$6:$B$1005</definedName>
    <definedName name="Txn_Ded">'6. Transactions'!$M$6:$M$1005</definedName>
    <definedName name="Txn_Desc">'6. Transactions'!$D$6:$D$1005</definedName>
    <definedName name="Txn_ID">'6. Transactions'!$A$6:$A$1005</definedName>
    <definedName name="Txn_In">'6. Transactions'!$E$6:$E$1005</definedName>
    <definedName name="Txn_Link">'6. Transactions'!$O$6:$O$1005</definedName>
    <definedName name="Txn_Out">'6. Transactions'!$F$6:$F$1005</definedName>
    <definedName name="Txn_Pick">OFFSET('6. Transactions'!$V$6,0,0,MAX(1,COUNTIF('6. Transactions'!$T$6:$T$1005,"?*")),1)</definedName>
    <definedName name="Txn_Rev">'6. Transactions'!$N$6:$N$1005</definedName>
    <definedName name="Txn_Treat">'6. Transactions'!$K$6:$K$1005</definedName>
    <definedName name="Yr_End">'2. Setup'!$C$12</definedName>
    <definedName name="Yr_Start">'2. Setup'!$C$11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441" i="17" l="1"/>
  <c r="F441" i="17"/>
  <c r="E441" i="17"/>
  <c r="D441" i="17"/>
  <c r="C441" i="17"/>
  <c r="B441" i="17"/>
  <c r="H440" i="17"/>
  <c r="F440" i="17"/>
  <c r="E440" i="17"/>
  <c r="D440" i="17"/>
  <c r="C440" i="17"/>
  <c r="B440" i="17"/>
  <c r="H439" i="17"/>
  <c r="F439" i="17"/>
  <c r="E439" i="17"/>
  <c r="D439" i="17"/>
  <c r="C439" i="17"/>
  <c r="B439" i="17"/>
  <c r="H438" i="17"/>
  <c r="F438" i="17"/>
  <c r="E438" i="17"/>
  <c r="D438" i="17"/>
  <c r="C438" i="17"/>
  <c r="B438" i="17"/>
  <c r="H437" i="17"/>
  <c r="F437" i="17"/>
  <c r="E437" i="17"/>
  <c r="D437" i="17"/>
  <c r="C437" i="17"/>
  <c r="B437" i="17"/>
  <c r="H436" i="17"/>
  <c r="F436" i="17"/>
  <c r="E436" i="17"/>
  <c r="D436" i="17"/>
  <c r="C436" i="17"/>
  <c r="B436" i="17"/>
  <c r="H435" i="17"/>
  <c r="F435" i="17"/>
  <c r="E435" i="17"/>
  <c r="D435" i="17"/>
  <c r="C435" i="17"/>
  <c r="B435" i="17"/>
  <c r="H434" i="17"/>
  <c r="F434" i="17"/>
  <c r="E434" i="17"/>
  <c r="D434" i="17"/>
  <c r="C434" i="17"/>
  <c r="B434" i="17"/>
  <c r="H433" i="17"/>
  <c r="F433" i="17"/>
  <c r="E433" i="17"/>
  <c r="D433" i="17"/>
  <c r="C433" i="17"/>
  <c r="B433" i="17"/>
  <c r="H432" i="17"/>
  <c r="F432" i="17"/>
  <c r="E432" i="17"/>
  <c r="D432" i="17"/>
  <c r="C432" i="17"/>
  <c r="B432" i="17"/>
  <c r="H431" i="17"/>
  <c r="F431" i="17"/>
  <c r="E431" i="17"/>
  <c r="D431" i="17"/>
  <c r="C431" i="17"/>
  <c r="B431" i="17"/>
  <c r="H430" i="17"/>
  <c r="F430" i="17"/>
  <c r="E430" i="17"/>
  <c r="D430" i="17"/>
  <c r="C430" i="17"/>
  <c r="B430" i="17"/>
  <c r="H429" i="17"/>
  <c r="F429" i="17"/>
  <c r="E429" i="17"/>
  <c r="D429" i="17"/>
  <c r="C429" i="17"/>
  <c r="B429" i="17"/>
  <c r="H428" i="17"/>
  <c r="F428" i="17"/>
  <c r="E428" i="17"/>
  <c r="D428" i="17"/>
  <c r="C428" i="17"/>
  <c r="B428" i="17"/>
  <c r="H427" i="17"/>
  <c r="F427" i="17"/>
  <c r="E427" i="17"/>
  <c r="D427" i="17"/>
  <c r="C427" i="17"/>
  <c r="B427" i="17"/>
  <c r="H426" i="17"/>
  <c r="F426" i="17"/>
  <c r="E426" i="17"/>
  <c r="D426" i="17"/>
  <c r="C426" i="17"/>
  <c r="B426" i="17"/>
  <c r="H425" i="17"/>
  <c r="F425" i="17"/>
  <c r="E425" i="17"/>
  <c r="D425" i="17"/>
  <c r="C425" i="17"/>
  <c r="B425" i="17"/>
  <c r="H424" i="17"/>
  <c r="F424" i="17"/>
  <c r="E424" i="17"/>
  <c r="D424" i="17"/>
  <c r="C424" i="17"/>
  <c r="B424" i="17"/>
  <c r="H423" i="17"/>
  <c r="F423" i="17"/>
  <c r="E423" i="17"/>
  <c r="D423" i="17"/>
  <c r="C423" i="17"/>
  <c r="B423" i="17"/>
  <c r="H422" i="17"/>
  <c r="F422" i="17"/>
  <c r="E422" i="17"/>
  <c r="D422" i="17"/>
  <c r="C422" i="17"/>
  <c r="B422" i="17"/>
  <c r="H421" i="17"/>
  <c r="F421" i="17"/>
  <c r="E421" i="17"/>
  <c r="D421" i="17"/>
  <c r="C421" i="17"/>
  <c r="B421" i="17"/>
  <c r="H420" i="17"/>
  <c r="F420" i="17"/>
  <c r="E420" i="17"/>
  <c r="D420" i="17"/>
  <c r="C420" i="17"/>
  <c r="B420" i="17"/>
  <c r="H419" i="17"/>
  <c r="F419" i="17"/>
  <c r="E419" i="17"/>
  <c r="D419" i="17"/>
  <c r="C419" i="17"/>
  <c r="B419" i="17"/>
  <c r="H418" i="17"/>
  <c r="F418" i="17"/>
  <c r="E418" i="17"/>
  <c r="D418" i="17"/>
  <c r="C418" i="17"/>
  <c r="B418" i="17"/>
  <c r="H417" i="17"/>
  <c r="F417" i="17"/>
  <c r="E417" i="17"/>
  <c r="D417" i="17"/>
  <c r="C417" i="17"/>
  <c r="B417" i="17"/>
  <c r="H416" i="17"/>
  <c r="F416" i="17"/>
  <c r="E416" i="17"/>
  <c r="D416" i="17"/>
  <c r="C416" i="17"/>
  <c r="B416" i="17"/>
  <c r="H415" i="17"/>
  <c r="F415" i="17"/>
  <c r="E415" i="17"/>
  <c r="D415" i="17"/>
  <c r="C415" i="17"/>
  <c r="B415" i="17"/>
  <c r="H414" i="17"/>
  <c r="F414" i="17"/>
  <c r="E414" i="17"/>
  <c r="D414" i="17"/>
  <c r="C414" i="17"/>
  <c r="B414" i="17"/>
  <c r="H413" i="17"/>
  <c r="F413" i="17"/>
  <c r="E413" i="17"/>
  <c r="D413" i="17"/>
  <c r="C413" i="17"/>
  <c r="B413" i="17"/>
  <c r="H412" i="17"/>
  <c r="F412" i="17"/>
  <c r="E412" i="17"/>
  <c r="D412" i="17"/>
  <c r="C412" i="17"/>
  <c r="B412" i="17"/>
  <c r="H411" i="17"/>
  <c r="F411" i="17"/>
  <c r="E411" i="17"/>
  <c r="D411" i="17"/>
  <c r="C411" i="17"/>
  <c r="B411" i="17"/>
  <c r="H410" i="17"/>
  <c r="F410" i="17"/>
  <c r="E410" i="17"/>
  <c r="D410" i="17"/>
  <c r="C410" i="17"/>
  <c r="B410" i="17"/>
  <c r="H409" i="17"/>
  <c r="F409" i="17"/>
  <c r="E409" i="17"/>
  <c r="D409" i="17"/>
  <c r="C409" i="17"/>
  <c r="B409" i="17"/>
  <c r="H408" i="17"/>
  <c r="F408" i="17"/>
  <c r="E408" i="17"/>
  <c r="D408" i="17"/>
  <c r="C408" i="17"/>
  <c r="B408" i="17"/>
  <c r="H407" i="17"/>
  <c r="F407" i="17"/>
  <c r="E407" i="17"/>
  <c r="D407" i="17"/>
  <c r="C407" i="17"/>
  <c r="B407" i="17"/>
  <c r="H406" i="17"/>
  <c r="F406" i="17"/>
  <c r="E406" i="17"/>
  <c r="D406" i="17"/>
  <c r="C406" i="17"/>
  <c r="B406" i="17"/>
  <c r="H405" i="17"/>
  <c r="F405" i="17"/>
  <c r="E405" i="17"/>
  <c r="D405" i="17"/>
  <c r="C405" i="17"/>
  <c r="B405" i="17"/>
  <c r="H404" i="17"/>
  <c r="F404" i="17"/>
  <c r="E404" i="17"/>
  <c r="D404" i="17"/>
  <c r="C404" i="17"/>
  <c r="B404" i="17"/>
  <c r="H403" i="17"/>
  <c r="F403" i="17"/>
  <c r="E403" i="17"/>
  <c r="D403" i="17"/>
  <c r="C403" i="17"/>
  <c r="B403" i="17"/>
  <c r="H402" i="17"/>
  <c r="F402" i="17"/>
  <c r="E402" i="17"/>
  <c r="D402" i="17"/>
  <c r="C402" i="17"/>
  <c r="B402" i="17"/>
  <c r="H401" i="17"/>
  <c r="F401" i="17"/>
  <c r="E401" i="17"/>
  <c r="D401" i="17"/>
  <c r="C401" i="17"/>
  <c r="B401" i="17"/>
  <c r="H400" i="17"/>
  <c r="F400" i="17"/>
  <c r="E400" i="17"/>
  <c r="D400" i="17"/>
  <c r="C400" i="17"/>
  <c r="B400" i="17"/>
  <c r="H399" i="17"/>
  <c r="F399" i="17"/>
  <c r="E399" i="17"/>
  <c r="D399" i="17"/>
  <c r="C399" i="17"/>
  <c r="B399" i="17"/>
  <c r="H398" i="17"/>
  <c r="F398" i="17"/>
  <c r="E398" i="17"/>
  <c r="D398" i="17"/>
  <c r="C398" i="17"/>
  <c r="B398" i="17"/>
  <c r="H397" i="17"/>
  <c r="F397" i="17"/>
  <c r="E397" i="17"/>
  <c r="D397" i="17"/>
  <c r="C397" i="17"/>
  <c r="B397" i="17"/>
  <c r="H396" i="17"/>
  <c r="F396" i="17"/>
  <c r="E396" i="17"/>
  <c r="D396" i="17"/>
  <c r="C396" i="17"/>
  <c r="B396" i="17"/>
  <c r="H395" i="17"/>
  <c r="F395" i="17"/>
  <c r="E395" i="17"/>
  <c r="D395" i="17"/>
  <c r="C395" i="17"/>
  <c r="B395" i="17"/>
  <c r="H394" i="17"/>
  <c r="F394" i="17"/>
  <c r="E394" i="17"/>
  <c r="D394" i="17"/>
  <c r="C394" i="17"/>
  <c r="B394" i="17"/>
  <c r="H393" i="17"/>
  <c r="F393" i="17"/>
  <c r="E393" i="17"/>
  <c r="D393" i="17"/>
  <c r="C393" i="17"/>
  <c r="B393" i="17"/>
  <c r="H392" i="17"/>
  <c r="F392" i="17"/>
  <c r="E392" i="17"/>
  <c r="D392" i="17"/>
  <c r="C392" i="17"/>
  <c r="B392" i="17"/>
  <c r="H391" i="17"/>
  <c r="F391" i="17"/>
  <c r="E391" i="17"/>
  <c r="D391" i="17"/>
  <c r="C391" i="17"/>
  <c r="B391" i="17"/>
  <c r="H390" i="17"/>
  <c r="F390" i="17"/>
  <c r="E390" i="17"/>
  <c r="D390" i="17"/>
  <c r="C390" i="17"/>
  <c r="B390" i="17"/>
  <c r="H389" i="17"/>
  <c r="F389" i="17"/>
  <c r="E389" i="17"/>
  <c r="D389" i="17"/>
  <c r="C389" i="17"/>
  <c r="B389" i="17"/>
  <c r="H388" i="17"/>
  <c r="F388" i="17"/>
  <c r="E388" i="17"/>
  <c r="D388" i="17"/>
  <c r="C388" i="17"/>
  <c r="B388" i="17"/>
  <c r="H387" i="17"/>
  <c r="F387" i="17"/>
  <c r="E387" i="17"/>
  <c r="D387" i="17"/>
  <c r="C387" i="17"/>
  <c r="B387" i="17"/>
  <c r="H386" i="17"/>
  <c r="F386" i="17"/>
  <c r="E386" i="17"/>
  <c r="D386" i="17"/>
  <c r="C386" i="17"/>
  <c r="B386" i="17"/>
  <c r="H385" i="17"/>
  <c r="F385" i="17"/>
  <c r="E385" i="17"/>
  <c r="D385" i="17"/>
  <c r="C385" i="17"/>
  <c r="B385" i="17"/>
  <c r="H384" i="17"/>
  <c r="F384" i="17"/>
  <c r="E384" i="17"/>
  <c r="D384" i="17"/>
  <c r="C384" i="17"/>
  <c r="B384" i="17"/>
  <c r="H383" i="17"/>
  <c r="F383" i="17"/>
  <c r="E383" i="17"/>
  <c r="D383" i="17"/>
  <c r="C383" i="17"/>
  <c r="B383" i="17"/>
  <c r="H382" i="17"/>
  <c r="F382" i="17"/>
  <c r="E382" i="17"/>
  <c r="D382" i="17"/>
  <c r="C382" i="17"/>
  <c r="B382" i="17"/>
  <c r="H381" i="17"/>
  <c r="F381" i="17"/>
  <c r="E381" i="17"/>
  <c r="D381" i="17"/>
  <c r="C381" i="17"/>
  <c r="B381" i="17"/>
  <c r="H380" i="17"/>
  <c r="F380" i="17"/>
  <c r="E380" i="17"/>
  <c r="D380" i="17"/>
  <c r="C380" i="17"/>
  <c r="B380" i="17"/>
  <c r="H379" i="17"/>
  <c r="F379" i="17"/>
  <c r="E379" i="17"/>
  <c r="D379" i="17"/>
  <c r="C379" i="17"/>
  <c r="B379" i="17"/>
  <c r="H378" i="17"/>
  <c r="F378" i="17"/>
  <c r="E378" i="17"/>
  <c r="D378" i="17"/>
  <c r="C378" i="17"/>
  <c r="B378" i="17"/>
  <c r="H377" i="17"/>
  <c r="F377" i="17"/>
  <c r="E377" i="17"/>
  <c r="D377" i="17"/>
  <c r="C377" i="17"/>
  <c r="B377" i="17"/>
  <c r="H376" i="17"/>
  <c r="F376" i="17"/>
  <c r="E376" i="17"/>
  <c r="D376" i="17"/>
  <c r="C376" i="17"/>
  <c r="B376" i="17"/>
  <c r="H375" i="17"/>
  <c r="F375" i="17"/>
  <c r="E375" i="17"/>
  <c r="D375" i="17"/>
  <c r="C375" i="17"/>
  <c r="B375" i="17"/>
  <c r="H374" i="17"/>
  <c r="F374" i="17"/>
  <c r="E374" i="17"/>
  <c r="D374" i="17"/>
  <c r="C374" i="17"/>
  <c r="B374" i="17"/>
  <c r="H373" i="17"/>
  <c r="F373" i="17"/>
  <c r="E373" i="17"/>
  <c r="D373" i="17"/>
  <c r="C373" i="17"/>
  <c r="B373" i="17"/>
  <c r="H372" i="17"/>
  <c r="F372" i="17"/>
  <c r="E372" i="17"/>
  <c r="D372" i="17"/>
  <c r="C372" i="17"/>
  <c r="B372" i="17"/>
  <c r="H371" i="17"/>
  <c r="F371" i="17"/>
  <c r="E371" i="17"/>
  <c r="D371" i="17"/>
  <c r="C371" i="17"/>
  <c r="B371" i="17"/>
  <c r="H370" i="17"/>
  <c r="F370" i="17"/>
  <c r="E370" i="17"/>
  <c r="D370" i="17"/>
  <c r="C370" i="17"/>
  <c r="B370" i="17"/>
  <c r="H369" i="17"/>
  <c r="F369" i="17"/>
  <c r="E369" i="17"/>
  <c r="D369" i="17"/>
  <c r="C369" i="17"/>
  <c r="B369" i="17"/>
  <c r="H368" i="17"/>
  <c r="F368" i="17"/>
  <c r="E368" i="17"/>
  <c r="D368" i="17"/>
  <c r="C368" i="17"/>
  <c r="B368" i="17"/>
  <c r="H367" i="17"/>
  <c r="F367" i="17"/>
  <c r="E367" i="17"/>
  <c r="D367" i="17"/>
  <c r="C367" i="17"/>
  <c r="B367" i="17"/>
  <c r="H366" i="17"/>
  <c r="F366" i="17"/>
  <c r="E366" i="17"/>
  <c r="D366" i="17"/>
  <c r="C366" i="17"/>
  <c r="B366" i="17"/>
  <c r="H365" i="17"/>
  <c r="F365" i="17"/>
  <c r="E365" i="17"/>
  <c r="D365" i="17"/>
  <c r="C365" i="17"/>
  <c r="B365" i="17"/>
  <c r="H364" i="17"/>
  <c r="F364" i="17"/>
  <c r="E364" i="17"/>
  <c r="D364" i="17"/>
  <c r="C364" i="17"/>
  <c r="B364" i="17"/>
  <c r="H363" i="17"/>
  <c r="F363" i="17"/>
  <c r="E363" i="17"/>
  <c r="D363" i="17"/>
  <c r="C363" i="17"/>
  <c r="B363" i="17"/>
  <c r="H362" i="17"/>
  <c r="F362" i="17"/>
  <c r="E362" i="17"/>
  <c r="D362" i="17"/>
  <c r="C362" i="17"/>
  <c r="B362" i="17"/>
  <c r="H361" i="17"/>
  <c r="F361" i="17"/>
  <c r="E361" i="17"/>
  <c r="D361" i="17"/>
  <c r="C361" i="17"/>
  <c r="B361" i="17"/>
  <c r="H360" i="17"/>
  <c r="F360" i="17"/>
  <c r="E360" i="17"/>
  <c r="D360" i="17"/>
  <c r="C360" i="17"/>
  <c r="B360" i="17"/>
  <c r="H359" i="17"/>
  <c r="F359" i="17"/>
  <c r="E359" i="17"/>
  <c r="D359" i="17"/>
  <c r="C359" i="17"/>
  <c r="B359" i="17"/>
  <c r="H358" i="17"/>
  <c r="F358" i="17"/>
  <c r="E358" i="17"/>
  <c r="D358" i="17"/>
  <c r="C358" i="17"/>
  <c r="B358" i="17"/>
  <c r="H357" i="17"/>
  <c r="F357" i="17"/>
  <c r="E357" i="17"/>
  <c r="D357" i="17"/>
  <c r="C357" i="17"/>
  <c r="B357" i="17"/>
  <c r="H356" i="17"/>
  <c r="F356" i="17"/>
  <c r="E356" i="17"/>
  <c r="D356" i="17"/>
  <c r="C356" i="17"/>
  <c r="B356" i="17"/>
  <c r="H355" i="17"/>
  <c r="F355" i="17"/>
  <c r="E355" i="17"/>
  <c r="D355" i="17"/>
  <c r="C355" i="17"/>
  <c r="B355" i="17"/>
  <c r="H354" i="17"/>
  <c r="F354" i="17"/>
  <c r="E354" i="17"/>
  <c r="D354" i="17"/>
  <c r="C354" i="17"/>
  <c r="B354" i="17"/>
  <c r="H353" i="17"/>
  <c r="F353" i="17"/>
  <c r="E353" i="17"/>
  <c r="D353" i="17"/>
  <c r="C353" i="17"/>
  <c r="B353" i="17"/>
  <c r="H352" i="17"/>
  <c r="F352" i="17"/>
  <c r="E352" i="17"/>
  <c r="D352" i="17"/>
  <c r="C352" i="17"/>
  <c r="B352" i="17"/>
  <c r="H351" i="17"/>
  <c r="F351" i="17"/>
  <c r="E351" i="17"/>
  <c r="D351" i="17"/>
  <c r="C351" i="17"/>
  <c r="B351" i="17"/>
  <c r="H350" i="17"/>
  <c r="F350" i="17"/>
  <c r="E350" i="17"/>
  <c r="D350" i="17"/>
  <c r="C350" i="17"/>
  <c r="B350" i="17"/>
  <c r="H349" i="17"/>
  <c r="F349" i="17"/>
  <c r="E349" i="17"/>
  <c r="D349" i="17"/>
  <c r="C349" i="17"/>
  <c r="B349" i="17"/>
  <c r="H348" i="17"/>
  <c r="F348" i="17"/>
  <c r="E348" i="17"/>
  <c r="D348" i="17"/>
  <c r="C348" i="17"/>
  <c r="B348" i="17"/>
  <c r="H347" i="17"/>
  <c r="F347" i="17"/>
  <c r="E347" i="17"/>
  <c r="D347" i="17"/>
  <c r="C347" i="17"/>
  <c r="B347" i="17"/>
  <c r="H346" i="17"/>
  <c r="F346" i="17"/>
  <c r="E346" i="17"/>
  <c r="D346" i="17"/>
  <c r="C346" i="17"/>
  <c r="B346" i="17"/>
  <c r="H345" i="17"/>
  <c r="F345" i="17"/>
  <c r="E345" i="17"/>
  <c r="D345" i="17"/>
  <c r="C345" i="17"/>
  <c r="B345" i="17"/>
  <c r="H344" i="17"/>
  <c r="F344" i="17"/>
  <c r="E344" i="17"/>
  <c r="D344" i="17"/>
  <c r="C344" i="17"/>
  <c r="B344" i="17"/>
  <c r="H343" i="17"/>
  <c r="F343" i="17"/>
  <c r="E343" i="17"/>
  <c r="D343" i="17"/>
  <c r="C343" i="17"/>
  <c r="B343" i="17"/>
  <c r="H342" i="17"/>
  <c r="F342" i="17"/>
  <c r="E342" i="17"/>
  <c r="D342" i="17"/>
  <c r="C342" i="17"/>
  <c r="B342" i="17"/>
  <c r="H341" i="17"/>
  <c r="F341" i="17"/>
  <c r="E341" i="17"/>
  <c r="D341" i="17"/>
  <c r="C341" i="17"/>
  <c r="B341" i="17"/>
  <c r="H340" i="17"/>
  <c r="F340" i="17"/>
  <c r="E340" i="17"/>
  <c r="D340" i="17"/>
  <c r="C340" i="17"/>
  <c r="B340" i="17"/>
  <c r="H339" i="17"/>
  <c r="F339" i="17"/>
  <c r="E339" i="17"/>
  <c r="D339" i="17"/>
  <c r="C339" i="17"/>
  <c r="B339" i="17"/>
  <c r="H338" i="17"/>
  <c r="F338" i="17"/>
  <c r="E338" i="17"/>
  <c r="D338" i="17"/>
  <c r="C338" i="17"/>
  <c r="B338" i="17"/>
  <c r="H337" i="17"/>
  <c r="F337" i="17"/>
  <c r="E337" i="17"/>
  <c r="D337" i="17"/>
  <c r="C337" i="17"/>
  <c r="B337" i="17"/>
  <c r="H336" i="17"/>
  <c r="F336" i="17"/>
  <c r="E336" i="17"/>
  <c r="D336" i="17"/>
  <c r="C336" i="17"/>
  <c r="B336" i="17"/>
  <c r="H335" i="17"/>
  <c r="F335" i="17"/>
  <c r="E335" i="17"/>
  <c r="D335" i="17"/>
  <c r="C335" i="17"/>
  <c r="B335" i="17"/>
  <c r="H334" i="17"/>
  <c r="F334" i="17"/>
  <c r="E334" i="17"/>
  <c r="D334" i="17"/>
  <c r="C334" i="17"/>
  <c r="B334" i="17"/>
  <c r="H333" i="17"/>
  <c r="F333" i="17"/>
  <c r="E333" i="17"/>
  <c r="D333" i="17"/>
  <c r="C333" i="17"/>
  <c r="B333" i="17"/>
  <c r="H332" i="17"/>
  <c r="F332" i="17"/>
  <c r="E332" i="17"/>
  <c r="D332" i="17"/>
  <c r="C332" i="17"/>
  <c r="B332" i="17"/>
  <c r="H331" i="17"/>
  <c r="F331" i="17"/>
  <c r="E331" i="17"/>
  <c r="D331" i="17"/>
  <c r="C331" i="17"/>
  <c r="B331" i="17"/>
  <c r="H330" i="17"/>
  <c r="F330" i="17"/>
  <c r="E330" i="17"/>
  <c r="D330" i="17"/>
  <c r="C330" i="17"/>
  <c r="B330" i="17"/>
  <c r="H329" i="17"/>
  <c r="F329" i="17"/>
  <c r="E329" i="17"/>
  <c r="D329" i="17"/>
  <c r="C329" i="17"/>
  <c r="B329" i="17"/>
  <c r="H328" i="17"/>
  <c r="F328" i="17"/>
  <c r="E328" i="17"/>
  <c r="D328" i="17"/>
  <c r="C328" i="17"/>
  <c r="B328" i="17"/>
  <c r="H327" i="17"/>
  <c r="F327" i="17"/>
  <c r="E327" i="17"/>
  <c r="D327" i="17"/>
  <c r="C327" i="17"/>
  <c r="B327" i="17"/>
  <c r="H326" i="17"/>
  <c r="F326" i="17"/>
  <c r="E326" i="17"/>
  <c r="D326" i="17"/>
  <c r="C326" i="17"/>
  <c r="B326" i="17"/>
  <c r="H325" i="17"/>
  <c r="F325" i="17"/>
  <c r="E325" i="17"/>
  <c r="D325" i="17"/>
  <c r="C325" i="17"/>
  <c r="B325" i="17"/>
  <c r="H324" i="17"/>
  <c r="F324" i="17"/>
  <c r="E324" i="17"/>
  <c r="D324" i="17"/>
  <c r="C324" i="17"/>
  <c r="B324" i="17"/>
  <c r="H323" i="17"/>
  <c r="F323" i="17"/>
  <c r="E323" i="17"/>
  <c r="D323" i="17"/>
  <c r="C323" i="17"/>
  <c r="B323" i="17"/>
  <c r="H322" i="17"/>
  <c r="F322" i="17"/>
  <c r="E322" i="17"/>
  <c r="D322" i="17"/>
  <c r="C322" i="17"/>
  <c r="B322" i="17"/>
  <c r="H321" i="17"/>
  <c r="F321" i="17"/>
  <c r="E321" i="17"/>
  <c r="D321" i="17"/>
  <c r="C321" i="17"/>
  <c r="B321" i="17"/>
  <c r="H320" i="17"/>
  <c r="F320" i="17"/>
  <c r="E320" i="17"/>
  <c r="D320" i="17"/>
  <c r="C320" i="17"/>
  <c r="B320" i="17"/>
  <c r="H319" i="17"/>
  <c r="F319" i="17"/>
  <c r="E319" i="17"/>
  <c r="D319" i="17"/>
  <c r="C319" i="17"/>
  <c r="B319" i="17"/>
  <c r="H318" i="17"/>
  <c r="F318" i="17"/>
  <c r="E318" i="17"/>
  <c r="D318" i="17"/>
  <c r="C318" i="17"/>
  <c r="B318" i="17"/>
  <c r="H317" i="17"/>
  <c r="F317" i="17"/>
  <c r="E317" i="17"/>
  <c r="D317" i="17"/>
  <c r="C317" i="17"/>
  <c r="B317" i="17"/>
  <c r="H316" i="17"/>
  <c r="F316" i="17"/>
  <c r="E316" i="17"/>
  <c r="D316" i="17"/>
  <c r="C316" i="17"/>
  <c r="B316" i="17"/>
  <c r="H315" i="17"/>
  <c r="F315" i="17"/>
  <c r="E315" i="17"/>
  <c r="D315" i="17"/>
  <c r="C315" i="17"/>
  <c r="B315" i="17"/>
  <c r="H314" i="17"/>
  <c r="F314" i="17"/>
  <c r="E314" i="17"/>
  <c r="D314" i="17"/>
  <c r="C314" i="17"/>
  <c r="B314" i="17"/>
  <c r="H313" i="17"/>
  <c r="F313" i="17"/>
  <c r="E313" i="17"/>
  <c r="D313" i="17"/>
  <c r="C313" i="17"/>
  <c r="B313" i="17"/>
  <c r="H312" i="17"/>
  <c r="F312" i="17"/>
  <c r="E312" i="17"/>
  <c r="D312" i="17"/>
  <c r="C312" i="17"/>
  <c r="B312" i="17"/>
  <c r="H311" i="17"/>
  <c r="F311" i="17"/>
  <c r="E311" i="17"/>
  <c r="D311" i="17"/>
  <c r="C311" i="17"/>
  <c r="B311" i="17"/>
  <c r="H310" i="17"/>
  <c r="F310" i="17"/>
  <c r="E310" i="17"/>
  <c r="D310" i="17"/>
  <c r="C310" i="17"/>
  <c r="B310" i="17"/>
  <c r="H309" i="17"/>
  <c r="F309" i="17"/>
  <c r="E309" i="17"/>
  <c r="D309" i="17"/>
  <c r="C309" i="17"/>
  <c r="B309" i="17"/>
  <c r="H308" i="17"/>
  <c r="F308" i="17"/>
  <c r="E308" i="17"/>
  <c r="D308" i="17"/>
  <c r="C308" i="17"/>
  <c r="B308" i="17"/>
  <c r="H307" i="17"/>
  <c r="F307" i="17"/>
  <c r="E307" i="17"/>
  <c r="D307" i="17"/>
  <c r="C307" i="17"/>
  <c r="B307" i="17"/>
  <c r="H306" i="17"/>
  <c r="F306" i="17"/>
  <c r="E306" i="17"/>
  <c r="D306" i="17"/>
  <c r="C306" i="17"/>
  <c r="B306" i="17"/>
  <c r="H305" i="17"/>
  <c r="F305" i="17"/>
  <c r="E305" i="17"/>
  <c r="D305" i="17"/>
  <c r="C305" i="17"/>
  <c r="B305" i="17"/>
  <c r="H304" i="17"/>
  <c r="F304" i="17"/>
  <c r="E304" i="17"/>
  <c r="D304" i="17"/>
  <c r="C304" i="17"/>
  <c r="B304" i="17"/>
  <c r="H303" i="17"/>
  <c r="F303" i="17"/>
  <c r="E303" i="17"/>
  <c r="D303" i="17"/>
  <c r="C303" i="17"/>
  <c r="B303" i="17"/>
  <c r="H302" i="17"/>
  <c r="F302" i="17"/>
  <c r="E302" i="17"/>
  <c r="D302" i="17"/>
  <c r="C302" i="17"/>
  <c r="B302" i="17"/>
  <c r="H301" i="17"/>
  <c r="F301" i="17"/>
  <c r="E301" i="17"/>
  <c r="D301" i="17"/>
  <c r="C301" i="17"/>
  <c r="B301" i="17"/>
  <c r="H300" i="17"/>
  <c r="F300" i="17"/>
  <c r="E300" i="17"/>
  <c r="D300" i="17"/>
  <c r="C300" i="17"/>
  <c r="B300" i="17"/>
  <c r="H299" i="17"/>
  <c r="F299" i="17"/>
  <c r="E299" i="17"/>
  <c r="D299" i="17"/>
  <c r="C299" i="17"/>
  <c r="B299" i="17"/>
  <c r="H298" i="17"/>
  <c r="F298" i="17"/>
  <c r="E298" i="17"/>
  <c r="D298" i="17"/>
  <c r="C298" i="17"/>
  <c r="B298" i="17"/>
  <c r="H297" i="17"/>
  <c r="F297" i="17"/>
  <c r="E297" i="17"/>
  <c r="D297" i="17"/>
  <c r="C297" i="17"/>
  <c r="B297" i="17"/>
  <c r="H296" i="17"/>
  <c r="F296" i="17"/>
  <c r="E296" i="17"/>
  <c r="D296" i="17"/>
  <c r="C296" i="17"/>
  <c r="B296" i="17"/>
  <c r="H295" i="17"/>
  <c r="F295" i="17"/>
  <c r="E295" i="17"/>
  <c r="D295" i="17"/>
  <c r="C295" i="17"/>
  <c r="B295" i="17"/>
  <c r="H294" i="17"/>
  <c r="F294" i="17"/>
  <c r="E294" i="17"/>
  <c r="D294" i="17"/>
  <c r="C294" i="17"/>
  <c r="B294" i="17"/>
  <c r="H293" i="17"/>
  <c r="F293" i="17"/>
  <c r="E293" i="17"/>
  <c r="D293" i="17"/>
  <c r="C293" i="17"/>
  <c r="B293" i="17"/>
  <c r="H292" i="17"/>
  <c r="F292" i="17"/>
  <c r="E292" i="17"/>
  <c r="D292" i="17"/>
  <c r="C292" i="17"/>
  <c r="B292" i="17"/>
  <c r="H291" i="17"/>
  <c r="F291" i="17"/>
  <c r="E291" i="17"/>
  <c r="D291" i="17"/>
  <c r="C291" i="17"/>
  <c r="B291" i="17"/>
  <c r="H290" i="17"/>
  <c r="F290" i="17"/>
  <c r="E290" i="17"/>
  <c r="D290" i="17"/>
  <c r="C290" i="17"/>
  <c r="B290" i="17"/>
  <c r="H289" i="17"/>
  <c r="F289" i="17"/>
  <c r="E289" i="17"/>
  <c r="D289" i="17"/>
  <c r="C289" i="17"/>
  <c r="B289" i="17"/>
  <c r="H288" i="17"/>
  <c r="F288" i="17"/>
  <c r="E288" i="17"/>
  <c r="D288" i="17"/>
  <c r="C288" i="17"/>
  <c r="B288" i="17"/>
  <c r="H287" i="17"/>
  <c r="F287" i="17"/>
  <c r="E287" i="17"/>
  <c r="D287" i="17"/>
  <c r="C287" i="17"/>
  <c r="B287" i="17"/>
  <c r="H286" i="17"/>
  <c r="F286" i="17"/>
  <c r="E286" i="17"/>
  <c r="D286" i="17"/>
  <c r="C286" i="17"/>
  <c r="B286" i="17"/>
  <c r="H285" i="17"/>
  <c r="F285" i="17"/>
  <c r="E285" i="17"/>
  <c r="D285" i="17"/>
  <c r="C285" i="17"/>
  <c r="B285" i="17"/>
  <c r="H284" i="17"/>
  <c r="F284" i="17"/>
  <c r="E284" i="17"/>
  <c r="D284" i="17"/>
  <c r="C284" i="17"/>
  <c r="B284" i="17"/>
  <c r="H283" i="17"/>
  <c r="F283" i="17"/>
  <c r="E283" i="17"/>
  <c r="D283" i="17"/>
  <c r="C283" i="17"/>
  <c r="B283" i="17"/>
  <c r="H282" i="17"/>
  <c r="F282" i="17"/>
  <c r="E282" i="17"/>
  <c r="D282" i="17"/>
  <c r="C282" i="17"/>
  <c r="B282" i="17"/>
  <c r="H281" i="17"/>
  <c r="F281" i="17"/>
  <c r="E281" i="17"/>
  <c r="D281" i="17"/>
  <c r="C281" i="17"/>
  <c r="B281" i="17"/>
  <c r="H280" i="17"/>
  <c r="F280" i="17"/>
  <c r="E280" i="17"/>
  <c r="D280" i="17"/>
  <c r="C280" i="17"/>
  <c r="B280" i="17"/>
  <c r="H279" i="17"/>
  <c r="F279" i="17"/>
  <c r="E279" i="17"/>
  <c r="D279" i="17"/>
  <c r="C279" i="17"/>
  <c r="B279" i="17"/>
  <c r="H278" i="17"/>
  <c r="F278" i="17"/>
  <c r="E278" i="17"/>
  <c r="D278" i="17"/>
  <c r="C278" i="17"/>
  <c r="B278" i="17"/>
  <c r="H277" i="17"/>
  <c r="F277" i="17"/>
  <c r="E277" i="17"/>
  <c r="D277" i="17"/>
  <c r="C277" i="17"/>
  <c r="B277" i="17"/>
  <c r="H276" i="17"/>
  <c r="F276" i="17"/>
  <c r="E276" i="17"/>
  <c r="D276" i="17"/>
  <c r="C276" i="17"/>
  <c r="B276" i="17"/>
  <c r="H275" i="17"/>
  <c r="F275" i="17"/>
  <c r="E275" i="17"/>
  <c r="D275" i="17"/>
  <c r="C275" i="17"/>
  <c r="B275" i="17"/>
  <c r="H274" i="17"/>
  <c r="F274" i="17"/>
  <c r="E274" i="17"/>
  <c r="D274" i="17"/>
  <c r="C274" i="17"/>
  <c r="B274" i="17"/>
  <c r="H273" i="17"/>
  <c r="F273" i="17"/>
  <c r="E273" i="17"/>
  <c r="D273" i="17"/>
  <c r="C273" i="17"/>
  <c r="B273" i="17"/>
  <c r="H272" i="17"/>
  <c r="F272" i="17"/>
  <c r="E272" i="17"/>
  <c r="D272" i="17"/>
  <c r="C272" i="17"/>
  <c r="B272" i="17"/>
  <c r="H271" i="17"/>
  <c r="F271" i="17"/>
  <c r="E271" i="17"/>
  <c r="D271" i="17"/>
  <c r="C271" i="17"/>
  <c r="B271" i="17"/>
  <c r="H270" i="17"/>
  <c r="F270" i="17"/>
  <c r="E270" i="17"/>
  <c r="D270" i="17"/>
  <c r="C270" i="17"/>
  <c r="B270" i="17"/>
  <c r="H269" i="17"/>
  <c r="F269" i="17"/>
  <c r="E269" i="17"/>
  <c r="D269" i="17"/>
  <c r="C269" i="17"/>
  <c r="B269" i="17"/>
  <c r="H268" i="17"/>
  <c r="F268" i="17"/>
  <c r="E268" i="17"/>
  <c r="D268" i="17"/>
  <c r="C268" i="17"/>
  <c r="B268" i="17"/>
  <c r="H267" i="17"/>
  <c r="F267" i="17"/>
  <c r="E267" i="17"/>
  <c r="D267" i="17"/>
  <c r="C267" i="17"/>
  <c r="B267" i="17"/>
  <c r="H266" i="17"/>
  <c r="F266" i="17"/>
  <c r="E266" i="17"/>
  <c r="D266" i="17"/>
  <c r="C266" i="17"/>
  <c r="B266" i="17"/>
  <c r="H265" i="17"/>
  <c r="F265" i="17"/>
  <c r="E265" i="17"/>
  <c r="D265" i="17"/>
  <c r="C265" i="17"/>
  <c r="B265" i="17"/>
  <c r="H264" i="17"/>
  <c r="F264" i="17"/>
  <c r="E264" i="17"/>
  <c r="D264" i="17"/>
  <c r="C264" i="17"/>
  <c r="B264" i="17"/>
  <c r="H263" i="17"/>
  <c r="F263" i="17"/>
  <c r="E263" i="17"/>
  <c r="D263" i="17"/>
  <c r="C263" i="17"/>
  <c r="B263" i="17"/>
  <c r="H262" i="17"/>
  <c r="F262" i="17"/>
  <c r="E262" i="17"/>
  <c r="D262" i="17"/>
  <c r="C262" i="17"/>
  <c r="B262" i="17"/>
  <c r="H261" i="17"/>
  <c r="F261" i="17"/>
  <c r="E261" i="17"/>
  <c r="D261" i="17"/>
  <c r="C261" i="17"/>
  <c r="B261" i="17"/>
  <c r="H260" i="17"/>
  <c r="F260" i="17"/>
  <c r="E260" i="17"/>
  <c r="D260" i="17"/>
  <c r="C260" i="17"/>
  <c r="B260" i="17"/>
  <c r="H259" i="17"/>
  <c r="F259" i="17"/>
  <c r="E259" i="17"/>
  <c r="D259" i="17"/>
  <c r="C259" i="17"/>
  <c r="B259" i="17"/>
  <c r="H258" i="17"/>
  <c r="F258" i="17"/>
  <c r="E258" i="17"/>
  <c r="D258" i="17"/>
  <c r="C258" i="17"/>
  <c r="B258" i="17"/>
  <c r="H257" i="17"/>
  <c r="F257" i="17"/>
  <c r="E257" i="17"/>
  <c r="D257" i="17"/>
  <c r="C257" i="17"/>
  <c r="B257" i="17"/>
  <c r="H256" i="17"/>
  <c r="F256" i="17"/>
  <c r="E256" i="17"/>
  <c r="D256" i="17"/>
  <c r="C256" i="17"/>
  <c r="B256" i="17"/>
  <c r="H255" i="17"/>
  <c r="F255" i="17"/>
  <c r="E255" i="17"/>
  <c r="D255" i="17"/>
  <c r="C255" i="17"/>
  <c r="B255" i="17"/>
  <c r="H254" i="17"/>
  <c r="F254" i="17"/>
  <c r="E254" i="17"/>
  <c r="D254" i="17"/>
  <c r="C254" i="17"/>
  <c r="B254" i="17"/>
  <c r="H253" i="17"/>
  <c r="F253" i="17"/>
  <c r="E253" i="17"/>
  <c r="D253" i="17"/>
  <c r="C253" i="17"/>
  <c r="B253" i="17"/>
  <c r="H252" i="17"/>
  <c r="F252" i="17"/>
  <c r="E252" i="17"/>
  <c r="D252" i="17"/>
  <c r="C252" i="17"/>
  <c r="B252" i="17"/>
  <c r="H251" i="17"/>
  <c r="F251" i="17"/>
  <c r="E251" i="17"/>
  <c r="D251" i="17"/>
  <c r="C251" i="17"/>
  <c r="B251" i="17"/>
  <c r="H250" i="17"/>
  <c r="F250" i="17"/>
  <c r="E250" i="17"/>
  <c r="D250" i="17"/>
  <c r="C250" i="17"/>
  <c r="B250" i="17"/>
  <c r="H249" i="17"/>
  <c r="F249" i="17"/>
  <c r="E249" i="17"/>
  <c r="D249" i="17"/>
  <c r="C249" i="17"/>
  <c r="B249" i="17"/>
  <c r="H248" i="17"/>
  <c r="F248" i="17"/>
  <c r="E248" i="17"/>
  <c r="D248" i="17"/>
  <c r="C248" i="17"/>
  <c r="B248" i="17"/>
  <c r="H247" i="17"/>
  <c r="F247" i="17"/>
  <c r="E247" i="17"/>
  <c r="D247" i="17"/>
  <c r="C247" i="17"/>
  <c r="B247" i="17"/>
  <c r="H246" i="17"/>
  <c r="F246" i="17"/>
  <c r="E246" i="17"/>
  <c r="D246" i="17"/>
  <c r="C246" i="17"/>
  <c r="B246" i="17"/>
  <c r="H245" i="17"/>
  <c r="F245" i="17"/>
  <c r="E245" i="17"/>
  <c r="D245" i="17"/>
  <c r="C245" i="17"/>
  <c r="B245" i="17"/>
  <c r="H244" i="17"/>
  <c r="F244" i="17"/>
  <c r="E244" i="17"/>
  <c r="D244" i="17"/>
  <c r="C244" i="17"/>
  <c r="B244" i="17"/>
  <c r="H243" i="17"/>
  <c r="F243" i="17"/>
  <c r="E243" i="17"/>
  <c r="D243" i="17"/>
  <c r="C243" i="17"/>
  <c r="B243" i="17"/>
  <c r="H242" i="17"/>
  <c r="F242" i="17"/>
  <c r="E242" i="17"/>
  <c r="D242" i="17"/>
  <c r="C242" i="17"/>
  <c r="B242" i="17"/>
  <c r="H241" i="17"/>
  <c r="F241" i="17"/>
  <c r="E241" i="17"/>
  <c r="D241" i="17"/>
  <c r="C241" i="17"/>
  <c r="B241" i="17"/>
  <c r="H240" i="17"/>
  <c r="F240" i="17"/>
  <c r="E240" i="17"/>
  <c r="D240" i="17"/>
  <c r="C240" i="17"/>
  <c r="B240" i="17"/>
  <c r="H239" i="17"/>
  <c r="F239" i="17"/>
  <c r="E239" i="17"/>
  <c r="D239" i="17"/>
  <c r="C239" i="17"/>
  <c r="B239" i="17"/>
  <c r="H238" i="17"/>
  <c r="F238" i="17"/>
  <c r="E238" i="17"/>
  <c r="D238" i="17"/>
  <c r="C238" i="17"/>
  <c r="B238" i="17"/>
  <c r="H237" i="17"/>
  <c r="F237" i="17"/>
  <c r="E237" i="17"/>
  <c r="D237" i="17"/>
  <c r="C237" i="17"/>
  <c r="B237" i="17"/>
  <c r="H236" i="17"/>
  <c r="F236" i="17"/>
  <c r="E236" i="17"/>
  <c r="D236" i="17"/>
  <c r="C236" i="17"/>
  <c r="B236" i="17"/>
  <c r="H235" i="17"/>
  <c r="F235" i="17"/>
  <c r="E235" i="17"/>
  <c r="D235" i="17"/>
  <c r="C235" i="17"/>
  <c r="B235" i="17"/>
  <c r="H234" i="17"/>
  <c r="F234" i="17"/>
  <c r="E234" i="17"/>
  <c r="D234" i="17"/>
  <c r="C234" i="17"/>
  <c r="B234" i="17"/>
  <c r="H233" i="17"/>
  <c r="F233" i="17"/>
  <c r="E233" i="17"/>
  <c r="D233" i="17"/>
  <c r="C233" i="17"/>
  <c r="B233" i="17"/>
  <c r="H232" i="17"/>
  <c r="F232" i="17"/>
  <c r="E232" i="17"/>
  <c r="D232" i="17"/>
  <c r="C232" i="17"/>
  <c r="B232" i="17"/>
  <c r="H231" i="17"/>
  <c r="F231" i="17"/>
  <c r="E231" i="17"/>
  <c r="D231" i="17"/>
  <c r="C231" i="17"/>
  <c r="B231" i="17"/>
  <c r="H230" i="17"/>
  <c r="F230" i="17"/>
  <c r="E230" i="17"/>
  <c r="D230" i="17"/>
  <c r="C230" i="17"/>
  <c r="B230" i="17"/>
  <c r="H229" i="17"/>
  <c r="F229" i="17"/>
  <c r="E229" i="17"/>
  <c r="D229" i="17"/>
  <c r="C229" i="17"/>
  <c r="B229" i="17"/>
  <c r="H228" i="17"/>
  <c r="F228" i="17"/>
  <c r="E228" i="17"/>
  <c r="D228" i="17"/>
  <c r="C228" i="17"/>
  <c r="B228" i="17"/>
  <c r="H227" i="17"/>
  <c r="F227" i="17"/>
  <c r="E227" i="17"/>
  <c r="D227" i="17"/>
  <c r="C227" i="17"/>
  <c r="B227" i="17"/>
  <c r="H226" i="17"/>
  <c r="F226" i="17"/>
  <c r="E226" i="17"/>
  <c r="D226" i="17"/>
  <c r="C226" i="17"/>
  <c r="B226" i="17"/>
  <c r="H225" i="17"/>
  <c r="F225" i="17"/>
  <c r="E225" i="17"/>
  <c r="D225" i="17"/>
  <c r="C225" i="17"/>
  <c r="B225" i="17"/>
  <c r="H224" i="17"/>
  <c r="F224" i="17"/>
  <c r="E224" i="17"/>
  <c r="D224" i="17"/>
  <c r="C224" i="17"/>
  <c r="B224" i="17"/>
  <c r="H223" i="17"/>
  <c r="F223" i="17"/>
  <c r="E223" i="17"/>
  <c r="D223" i="17"/>
  <c r="C223" i="17"/>
  <c r="B223" i="17"/>
  <c r="H222" i="17"/>
  <c r="F222" i="17"/>
  <c r="E222" i="17"/>
  <c r="D222" i="17"/>
  <c r="C222" i="17"/>
  <c r="B222" i="17"/>
  <c r="H221" i="17"/>
  <c r="F221" i="17"/>
  <c r="E221" i="17"/>
  <c r="D221" i="17"/>
  <c r="C221" i="17"/>
  <c r="B221" i="17"/>
  <c r="H220" i="17"/>
  <c r="F220" i="17"/>
  <c r="E220" i="17"/>
  <c r="D220" i="17"/>
  <c r="C220" i="17"/>
  <c r="B220" i="17"/>
  <c r="H219" i="17"/>
  <c r="F219" i="17"/>
  <c r="E219" i="17"/>
  <c r="D219" i="17"/>
  <c r="C219" i="17"/>
  <c r="B219" i="17"/>
  <c r="H218" i="17"/>
  <c r="F218" i="17"/>
  <c r="E218" i="17"/>
  <c r="D218" i="17"/>
  <c r="C218" i="17"/>
  <c r="B218" i="17"/>
  <c r="H217" i="17"/>
  <c r="F217" i="17"/>
  <c r="E217" i="17"/>
  <c r="D217" i="17"/>
  <c r="C217" i="17"/>
  <c r="B217" i="17"/>
  <c r="H216" i="17"/>
  <c r="F216" i="17"/>
  <c r="E216" i="17"/>
  <c r="D216" i="17"/>
  <c r="C216" i="17"/>
  <c r="B216" i="17"/>
  <c r="H215" i="17"/>
  <c r="F215" i="17"/>
  <c r="E215" i="17"/>
  <c r="D215" i="17"/>
  <c r="C215" i="17"/>
  <c r="B215" i="17"/>
  <c r="H214" i="17"/>
  <c r="F214" i="17"/>
  <c r="E214" i="17"/>
  <c r="D214" i="17"/>
  <c r="C214" i="17"/>
  <c r="B214" i="17"/>
  <c r="H213" i="17"/>
  <c r="F213" i="17"/>
  <c r="E213" i="17"/>
  <c r="D213" i="17"/>
  <c r="C213" i="17"/>
  <c r="B213" i="17"/>
  <c r="H212" i="17"/>
  <c r="F212" i="17"/>
  <c r="E212" i="17"/>
  <c r="D212" i="17"/>
  <c r="C212" i="17"/>
  <c r="B212" i="17"/>
  <c r="H211" i="17"/>
  <c r="F211" i="17"/>
  <c r="E211" i="17"/>
  <c r="D211" i="17"/>
  <c r="C211" i="17"/>
  <c r="B211" i="17"/>
  <c r="H210" i="17"/>
  <c r="F210" i="17"/>
  <c r="E210" i="17"/>
  <c r="D210" i="17"/>
  <c r="C210" i="17"/>
  <c r="B210" i="17"/>
  <c r="H209" i="17"/>
  <c r="F209" i="17"/>
  <c r="E209" i="17"/>
  <c r="D209" i="17"/>
  <c r="C209" i="17"/>
  <c r="B209" i="17"/>
  <c r="H208" i="17"/>
  <c r="F208" i="17"/>
  <c r="E208" i="17"/>
  <c r="D208" i="17"/>
  <c r="C208" i="17"/>
  <c r="B208" i="17"/>
  <c r="H207" i="17"/>
  <c r="F207" i="17"/>
  <c r="E207" i="17"/>
  <c r="D207" i="17"/>
  <c r="C207" i="17"/>
  <c r="B207" i="17"/>
  <c r="H206" i="17"/>
  <c r="F206" i="17"/>
  <c r="E206" i="17"/>
  <c r="D206" i="17"/>
  <c r="C206" i="17"/>
  <c r="B206" i="17"/>
  <c r="H205" i="17"/>
  <c r="F205" i="17"/>
  <c r="E205" i="17"/>
  <c r="D205" i="17"/>
  <c r="C205" i="17"/>
  <c r="B205" i="17"/>
  <c r="H204" i="17"/>
  <c r="F204" i="17"/>
  <c r="E204" i="17"/>
  <c r="D204" i="17"/>
  <c r="C204" i="17"/>
  <c r="B204" i="17"/>
  <c r="H203" i="17"/>
  <c r="F203" i="17"/>
  <c r="E203" i="17"/>
  <c r="D203" i="17"/>
  <c r="C203" i="17"/>
  <c r="B203" i="17"/>
  <c r="H202" i="17"/>
  <c r="F202" i="17"/>
  <c r="E202" i="17"/>
  <c r="D202" i="17"/>
  <c r="C202" i="17"/>
  <c r="B202" i="17"/>
  <c r="H201" i="17"/>
  <c r="F201" i="17"/>
  <c r="E201" i="17"/>
  <c r="D201" i="17"/>
  <c r="C201" i="17"/>
  <c r="B201" i="17"/>
  <c r="H200" i="17"/>
  <c r="F200" i="17"/>
  <c r="E200" i="17"/>
  <c r="D200" i="17"/>
  <c r="C200" i="17"/>
  <c r="B200" i="17"/>
  <c r="H199" i="17"/>
  <c r="F199" i="17"/>
  <c r="E199" i="17"/>
  <c r="D199" i="17"/>
  <c r="C199" i="17"/>
  <c r="B199" i="17"/>
  <c r="H198" i="17"/>
  <c r="F198" i="17"/>
  <c r="E198" i="17"/>
  <c r="D198" i="17"/>
  <c r="C198" i="17"/>
  <c r="B198" i="17"/>
  <c r="H197" i="17"/>
  <c r="F197" i="17"/>
  <c r="E197" i="17"/>
  <c r="D197" i="17"/>
  <c r="C197" i="17"/>
  <c r="B197" i="17"/>
  <c r="H196" i="17"/>
  <c r="F196" i="17"/>
  <c r="E196" i="17"/>
  <c r="D196" i="17"/>
  <c r="C196" i="17"/>
  <c r="B196" i="17"/>
  <c r="H195" i="17"/>
  <c r="F195" i="17"/>
  <c r="E195" i="17"/>
  <c r="D195" i="17"/>
  <c r="C195" i="17"/>
  <c r="B195" i="17"/>
  <c r="H194" i="17"/>
  <c r="F194" i="17"/>
  <c r="E194" i="17"/>
  <c r="D194" i="17"/>
  <c r="C194" i="17"/>
  <c r="B194" i="17"/>
  <c r="H193" i="17"/>
  <c r="F193" i="17"/>
  <c r="E193" i="17"/>
  <c r="D193" i="17"/>
  <c r="C193" i="17"/>
  <c r="B193" i="17"/>
  <c r="H192" i="17"/>
  <c r="F192" i="17"/>
  <c r="E192" i="17"/>
  <c r="D192" i="17"/>
  <c r="C192" i="17"/>
  <c r="B192" i="17"/>
  <c r="H191" i="17"/>
  <c r="F191" i="17"/>
  <c r="E191" i="17"/>
  <c r="D191" i="17"/>
  <c r="C191" i="17"/>
  <c r="B191" i="17"/>
  <c r="H190" i="17"/>
  <c r="F190" i="17"/>
  <c r="E190" i="17"/>
  <c r="D190" i="17"/>
  <c r="C190" i="17"/>
  <c r="B190" i="17"/>
  <c r="H189" i="17"/>
  <c r="F189" i="17"/>
  <c r="E189" i="17"/>
  <c r="D189" i="17"/>
  <c r="C189" i="17"/>
  <c r="B189" i="17"/>
  <c r="H188" i="17"/>
  <c r="F188" i="17"/>
  <c r="E188" i="17"/>
  <c r="D188" i="17"/>
  <c r="C188" i="17"/>
  <c r="B188" i="17"/>
  <c r="H187" i="17"/>
  <c r="F187" i="17"/>
  <c r="E187" i="17"/>
  <c r="D187" i="17"/>
  <c r="C187" i="17"/>
  <c r="B187" i="17"/>
  <c r="H186" i="17"/>
  <c r="F186" i="17"/>
  <c r="E186" i="17"/>
  <c r="D186" i="17"/>
  <c r="C186" i="17"/>
  <c r="B186" i="17"/>
  <c r="H185" i="17"/>
  <c r="F185" i="17"/>
  <c r="E185" i="17"/>
  <c r="D185" i="17"/>
  <c r="C185" i="17"/>
  <c r="B185" i="17"/>
  <c r="H184" i="17"/>
  <c r="F184" i="17"/>
  <c r="E184" i="17"/>
  <c r="D184" i="17"/>
  <c r="C184" i="17"/>
  <c r="B184" i="17"/>
  <c r="H183" i="17"/>
  <c r="F183" i="17"/>
  <c r="E183" i="17"/>
  <c r="D183" i="17"/>
  <c r="C183" i="17"/>
  <c r="B183" i="17"/>
  <c r="H182" i="17"/>
  <c r="F182" i="17"/>
  <c r="E182" i="17"/>
  <c r="D182" i="17"/>
  <c r="C182" i="17"/>
  <c r="B182" i="17"/>
  <c r="H181" i="17"/>
  <c r="F181" i="17"/>
  <c r="E181" i="17"/>
  <c r="D181" i="17"/>
  <c r="C181" i="17"/>
  <c r="B181" i="17"/>
  <c r="H180" i="17"/>
  <c r="F180" i="17"/>
  <c r="E180" i="17"/>
  <c r="D180" i="17"/>
  <c r="C180" i="17"/>
  <c r="B180" i="17"/>
  <c r="H179" i="17"/>
  <c r="F179" i="17"/>
  <c r="E179" i="17"/>
  <c r="D179" i="17"/>
  <c r="C179" i="17"/>
  <c r="B179" i="17"/>
  <c r="H178" i="17"/>
  <c r="F178" i="17"/>
  <c r="E178" i="17"/>
  <c r="D178" i="17"/>
  <c r="C178" i="17"/>
  <c r="B178" i="17"/>
  <c r="H177" i="17"/>
  <c r="F177" i="17"/>
  <c r="E177" i="17"/>
  <c r="D177" i="17"/>
  <c r="C177" i="17"/>
  <c r="B177" i="17"/>
  <c r="H176" i="17"/>
  <c r="F176" i="17"/>
  <c r="E176" i="17"/>
  <c r="D176" i="17"/>
  <c r="C176" i="17"/>
  <c r="B176" i="17"/>
  <c r="H175" i="17"/>
  <c r="F175" i="17"/>
  <c r="E175" i="17"/>
  <c r="D175" i="17"/>
  <c r="C175" i="17"/>
  <c r="B175" i="17"/>
  <c r="H174" i="17"/>
  <c r="F174" i="17"/>
  <c r="E174" i="17"/>
  <c r="D174" i="17"/>
  <c r="C174" i="17"/>
  <c r="B174" i="17"/>
  <c r="H173" i="17"/>
  <c r="F173" i="17"/>
  <c r="E173" i="17"/>
  <c r="D173" i="17"/>
  <c r="C173" i="17"/>
  <c r="B173" i="17"/>
  <c r="H172" i="17"/>
  <c r="F172" i="17"/>
  <c r="E172" i="17"/>
  <c r="D172" i="17"/>
  <c r="C172" i="17"/>
  <c r="B172" i="17"/>
  <c r="H171" i="17"/>
  <c r="F171" i="17"/>
  <c r="E171" i="17"/>
  <c r="D171" i="17"/>
  <c r="C171" i="17"/>
  <c r="B171" i="17"/>
  <c r="H170" i="17"/>
  <c r="F170" i="17"/>
  <c r="E170" i="17"/>
  <c r="D170" i="17"/>
  <c r="C170" i="17"/>
  <c r="B170" i="17"/>
  <c r="H169" i="17"/>
  <c r="F169" i="17"/>
  <c r="E169" i="17"/>
  <c r="D169" i="17"/>
  <c r="C169" i="17"/>
  <c r="B169" i="17"/>
  <c r="H168" i="17"/>
  <c r="F168" i="17"/>
  <c r="E168" i="17"/>
  <c r="D168" i="17"/>
  <c r="C168" i="17"/>
  <c r="B168" i="17"/>
  <c r="H167" i="17"/>
  <c r="F167" i="17"/>
  <c r="E167" i="17"/>
  <c r="D167" i="17"/>
  <c r="C167" i="17"/>
  <c r="B167" i="17"/>
  <c r="H166" i="17"/>
  <c r="F166" i="17"/>
  <c r="E166" i="17"/>
  <c r="D166" i="17"/>
  <c r="C166" i="17"/>
  <c r="B166" i="17"/>
  <c r="H165" i="17"/>
  <c r="F165" i="17"/>
  <c r="E165" i="17"/>
  <c r="D165" i="17"/>
  <c r="C165" i="17"/>
  <c r="B165" i="17"/>
  <c r="H164" i="17"/>
  <c r="F164" i="17"/>
  <c r="E164" i="17"/>
  <c r="D164" i="17"/>
  <c r="C164" i="17"/>
  <c r="B164" i="17"/>
  <c r="H163" i="17"/>
  <c r="F163" i="17"/>
  <c r="E163" i="17"/>
  <c r="D163" i="17"/>
  <c r="C163" i="17"/>
  <c r="B163" i="17"/>
  <c r="H162" i="17"/>
  <c r="F162" i="17"/>
  <c r="E162" i="17"/>
  <c r="D162" i="17"/>
  <c r="C162" i="17"/>
  <c r="B162" i="17"/>
  <c r="H161" i="17"/>
  <c r="F161" i="17"/>
  <c r="E161" i="17"/>
  <c r="D161" i="17"/>
  <c r="C161" i="17"/>
  <c r="B161" i="17"/>
  <c r="H160" i="17"/>
  <c r="F160" i="17"/>
  <c r="E160" i="17"/>
  <c r="D160" i="17"/>
  <c r="C160" i="17"/>
  <c r="B160" i="17"/>
  <c r="H159" i="17"/>
  <c r="F159" i="17"/>
  <c r="E159" i="17"/>
  <c r="D159" i="17"/>
  <c r="C159" i="17"/>
  <c r="B159" i="17"/>
  <c r="H158" i="17"/>
  <c r="F158" i="17"/>
  <c r="E158" i="17"/>
  <c r="D158" i="17"/>
  <c r="C158" i="17"/>
  <c r="B158" i="17"/>
  <c r="H157" i="17"/>
  <c r="F157" i="17"/>
  <c r="E157" i="17"/>
  <c r="D157" i="17"/>
  <c r="C157" i="17"/>
  <c r="B157" i="17"/>
  <c r="H156" i="17"/>
  <c r="F156" i="17"/>
  <c r="E156" i="17"/>
  <c r="D156" i="17"/>
  <c r="C156" i="17"/>
  <c r="B156" i="17"/>
  <c r="H155" i="17"/>
  <c r="F155" i="17"/>
  <c r="E155" i="17"/>
  <c r="D155" i="17"/>
  <c r="C155" i="17"/>
  <c r="B155" i="17"/>
  <c r="H154" i="17"/>
  <c r="F154" i="17"/>
  <c r="E154" i="17"/>
  <c r="D154" i="17"/>
  <c r="C154" i="17"/>
  <c r="B154" i="17"/>
  <c r="H153" i="17"/>
  <c r="F153" i="17"/>
  <c r="E153" i="17"/>
  <c r="D153" i="17"/>
  <c r="C153" i="17"/>
  <c r="B153" i="17"/>
  <c r="H152" i="17"/>
  <c r="F152" i="17"/>
  <c r="E152" i="17"/>
  <c r="D152" i="17"/>
  <c r="C152" i="17"/>
  <c r="B152" i="17"/>
  <c r="H151" i="17"/>
  <c r="F151" i="17"/>
  <c r="E151" i="17"/>
  <c r="D151" i="17"/>
  <c r="C151" i="17"/>
  <c r="B151" i="17"/>
  <c r="H150" i="17"/>
  <c r="F150" i="17"/>
  <c r="E150" i="17"/>
  <c r="D150" i="17"/>
  <c r="C150" i="17"/>
  <c r="B150" i="17"/>
  <c r="H149" i="17"/>
  <c r="F149" i="17"/>
  <c r="E149" i="17"/>
  <c r="D149" i="17"/>
  <c r="C149" i="17"/>
  <c r="B149" i="17"/>
  <c r="H148" i="17"/>
  <c r="F148" i="17"/>
  <c r="E148" i="17"/>
  <c r="D148" i="17"/>
  <c r="C148" i="17"/>
  <c r="B148" i="17"/>
  <c r="H147" i="17"/>
  <c r="F147" i="17"/>
  <c r="E147" i="17"/>
  <c r="D147" i="17"/>
  <c r="C147" i="17"/>
  <c r="B147" i="17"/>
  <c r="H146" i="17"/>
  <c r="F146" i="17"/>
  <c r="E146" i="17"/>
  <c r="D146" i="17"/>
  <c r="C146" i="17"/>
  <c r="B146" i="17"/>
  <c r="H145" i="17"/>
  <c r="F145" i="17"/>
  <c r="E145" i="17"/>
  <c r="D145" i="17"/>
  <c r="C145" i="17"/>
  <c r="B145" i="17"/>
  <c r="H144" i="17"/>
  <c r="F144" i="17"/>
  <c r="E144" i="17"/>
  <c r="D144" i="17"/>
  <c r="C144" i="17"/>
  <c r="B144" i="17"/>
  <c r="H143" i="17"/>
  <c r="F143" i="17"/>
  <c r="E143" i="17"/>
  <c r="D143" i="17"/>
  <c r="C143" i="17"/>
  <c r="B143" i="17"/>
  <c r="H142" i="17"/>
  <c r="F142" i="17"/>
  <c r="E142" i="17"/>
  <c r="D142" i="17"/>
  <c r="C142" i="17"/>
  <c r="B142" i="17"/>
  <c r="H141" i="17"/>
  <c r="F141" i="17"/>
  <c r="E141" i="17"/>
  <c r="D141" i="17"/>
  <c r="C141" i="17"/>
  <c r="B141" i="17"/>
  <c r="H140" i="17"/>
  <c r="F140" i="17"/>
  <c r="E140" i="17"/>
  <c r="D140" i="17"/>
  <c r="C140" i="17"/>
  <c r="B140" i="17"/>
  <c r="H139" i="17"/>
  <c r="F139" i="17"/>
  <c r="E139" i="17"/>
  <c r="D139" i="17"/>
  <c r="C139" i="17"/>
  <c r="B139" i="17"/>
  <c r="H138" i="17"/>
  <c r="F138" i="17"/>
  <c r="E138" i="17"/>
  <c r="D138" i="17"/>
  <c r="C138" i="17"/>
  <c r="B138" i="17"/>
  <c r="H137" i="17"/>
  <c r="F137" i="17"/>
  <c r="E137" i="17"/>
  <c r="D137" i="17"/>
  <c r="C137" i="17"/>
  <c r="B137" i="17"/>
  <c r="H136" i="17"/>
  <c r="F136" i="17"/>
  <c r="E136" i="17"/>
  <c r="D136" i="17"/>
  <c r="C136" i="17"/>
  <c r="B136" i="17"/>
  <c r="H135" i="17"/>
  <c r="F135" i="17"/>
  <c r="E135" i="17"/>
  <c r="D135" i="17"/>
  <c r="C135" i="17"/>
  <c r="B135" i="17"/>
  <c r="H134" i="17"/>
  <c r="F134" i="17"/>
  <c r="E134" i="17"/>
  <c r="D134" i="17"/>
  <c r="C134" i="17"/>
  <c r="B134" i="17"/>
  <c r="H133" i="17"/>
  <c r="F133" i="17"/>
  <c r="E133" i="17"/>
  <c r="D133" i="17"/>
  <c r="C133" i="17"/>
  <c r="B133" i="17"/>
  <c r="H132" i="17"/>
  <c r="F132" i="17"/>
  <c r="E132" i="17"/>
  <c r="D132" i="17"/>
  <c r="C132" i="17"/>
  <c r="B132" i="17"/>
  <c r="H131" i="17"/>
  <c r="F131" i="17"/>
  <c r="E131" i="17"/>
  <c r="D131" i="17"/>
  <c r="C131" i="17"/>
  <c r="B131" i="17"/>
  <c r="H130" i="17"/>
  <c r="F130" i="17"/>
  <c r="E130" i="17"/>
  <c r="D130" i="17"/>
  <c r="C130" i="17"/>
  <c r="B130" i="17"/>
  <c r="H129" i="17"/>
  <c r="F129" i="17"/>
  <c r="E129" i="17"/>
  <c r="D129" i="17"/>
  <c r="C129" i="17"/>
  <c r="B129" i="17"/>
  <c r="H128" i="17"/>
  <c r="F128" i="17"/>
  <c r="E128" i="17"/>
  <c r="D128" i="17"/>
  <c r="C128" i="17"/>
  <c r="B128" i="17"/>
  <c r="H127" i="17"/>
  <c r="F127" i="17"/>
  <c r="E127" i="17"/>
  <c r="D127" i="17"/>
  <c r="C127" i="17"/>
  <c r="B127" i="17"/>
  <c r="H126" i="17"/>
  <c r="F126" i="17"/>
  <c r="E126" i="17"/>
  <c r="D126" i="17"/>
  <c r="C126" i="17"/>
  <c r="B126" i="17"/>
  <c r="H125" i="17"/>
  <c r="F125" i="17"/>
  <c r="E125" i="17"/>
  <c r="D125" i="17"/>
  <c r="C125" i="17"/>
  <c r="B125" i="17"/>
  <c r="H124" i="17"/>
  <c r="F124" i="17"/>
  <c r="E124" i="17"/>
  <c r="D124" i="17"/>
  <c r="C124" i="17"/>
  <c r="B124" i="17"/>
  <c r="H123" i="17"/>
  <c r="F123" i="17"/>
  <c r="E123" i="17"/>
  <c r="D123" i="17"/>
  <c r="C123" i="17"/>
  <c r="B123" i="17"/>
  <c r="H122" i="17"/>
  <c r="F122" i="17"/>
  <c r="E122" i="17"/>
  <c r="D122" i="17"/>
  <c r="C122" i="17"/>
  <c r="B122" i="17"/>
  <c r="H121" i="17"/>
  <c r="F121" i="17"/>
  <c r="E121" i="17"/>
  <c r="D121" i="17"/>
  <c r="C121" i="17"/>
  <c r="B121" i="17"/>
  <c r="H120" i="17"/>
  <c r="F120" i="17"/>
  <c r="E120" i="17"/>
  <c r="D120" i="17"/>
  <c r="C120" i="17"/>
  <c r="B120" i="17"/>
  <c r="H119" i="17"/>
  <c r="F119" i="17"/>
  <c r="E119" i="17"/>
  <c r="D119" i="17"/>
  <c r="C119" i="17"/>
  <c r="B119" i="17"/>
  <c r="H118" i="17"/>
  <c r="F118" i="17"/>
  <c r="E118" i="17"/>
  <c r="D118" i="17"/>
  <c r="C118" i="17"/>
  <c r="B118" i="17"/>
  <c r="H117" i="17"/>
  <c r="F117" i="17"/>
  <c r="E117" i="17"/>
  <c r="D117" i="17"/>
  <c r="C117" i="17"/>
  <c r="B117" i="17"/>
  <c r="H116" i="17"/>
  <c r="F116" i="17"/>
  <c r="E116" i="17"/>
  <c r="D116" i="17"/>
  <c r="C116" i="17"/>
  <c r="B116" i="17"/>
  <c r="H115" i="17"/>
  <c r="F115" i="17"/>
  <c r="E115" i="17"/>
  <c r="D115" i="17"/>
  <c r="C115" i="17"/>
  <c r="B115" i="17"/>
  <c r="H114" i="17"/>
  <c r="F114" i="17"/>
  <c r="E114" i="17"/>
  <c r="D114" i="17"/>
  <c r="C114" i="17"/>
  <c r="B114" i="17"/>
  <c r="H113" i="17"/>
  <c r="F113" i="17"/>
  <c r="E113" i="17"/>
  <c r="D113" i="17"/>
  <c r="C113" i="17"/>
  <c r="B113" i="17"/>
  <c r="H112" i="17"/>
  <c r="F112" i="17"/>
  <c r="E112" i="17"/>
  <c r="D112" i="17"/>
  <c r="C112" i="17"/>
  <c r="B112" i="17"/>
  <c r="H111" i="17"/>
  <c r="F111" i="17"/>
  <c r="E111" i="17"/>
  <c r="D111" i="17"/>
  <c r="C111" i="17"/>
  <c r="B111" i="17"/>
  <c r="H110" i="17"/>
  <c r="F110" i="17"/>
  <c r="E110" i="17"/>
  <c r="D110" i="17"/>
  <c r="C110" i="17"/>
  <c r="B110" i="17"/>
  <c r="H109" i="17"/>
  <c r="F109" i="17"/>
  <c r="E109" i="17"/>
  <c r="D109" i="17"/>
  <c r="C109" i="17"/>
  <c r="B109" i="17"/>
  <c r="H108" i="17"/>
  <c r="F108" i="17"/>
  <c r="E108" i="17"/>
  <c r="D108" i="17"/>
  <c r="C108" i="17"/>
  <c r="B108" i="17"/>
  <c r="H107" i="17"/>
  <c r="F107" i="17"/>
  <c r="E107" i="17"/>
  <c r="D107" i="17"/>
  <c r="C107" i="17"/>
  <c r="B107" i="17"/>
  <c r="H106" i="17"/>
  <c r="F106" i="17"/>
  <c r="E106" i="17"/>
  <c r="D106" i="17"/>
  <c r="C106" i="17"/>
  <c r="B106" i="17"/>
  <c r="H105" i="17"/>
  <c r="F105" i="17"/>
  <c r="E105" i="17"/>
  <c r="D105" i="17"/>
  <c r="C105" i="17"/>
  <c r="B105" i="17"/>
  <c r="H104" i="17"/>
  <c r="F104" i="17"/>
  <c r="E104" i="17"/>
  <c r="D104" i="17"/>
  <c r="C104" i="17"/>
  <c r="B104" i="17"/>
  <c r="H103" i="17"/>
  <c r="F103" i="17"/>
  <c r="E103" i="17"/>
  <c r="D103" i="17"/>
  <c r="C103" i="17"/>
  <c r="B103" i="17"/>
  <c r="H102" i="17"/>
  <c r="F102" i="17"/>
  <c r="E102" i="17"/>
  <c r="D102" i="17"/>
  <c r="C102" i="17"/>
  <c r="B102" i="17"/>
  <c r="H101" i="17"/>
  <c r="F101" i="17"/>
  <c r="E101" i="17"/>
  <c r="D101" i="17"/>
  <c r="C101" i="17"/>
  <c r="B101" i="17"/>
  <c r="H100" i="17"/>
  <c r="F100" i="17"/>
  <c r="E100" i="17"/>
  <c r="D100" i="17"/>
  <c r="C100" i="17"/>
  <c r="B100" i="17"/>
  <c r="H99" i="17"/>
  <c r="F99" i="17"/>
  <c r="E99" i="17"/>
  <c r="D99" i="17"/>
  <c r="C99" i="17"/>
  <c r="B99" i="17"/>
  <c r="H98" i="17"/>
  <c r="F98" i="17"/>
  <c r="E98" i="17"/>
  <c r="D98" i="17"/>
  <c r="C98" i="17"/>
  <c r="B98" i="17"/>
  <c r="H97" i="17"/>
  <c r="F97" i="17"/>
  <c r="E97" i="17"/>
  <c r="D97" i="17"/>
  <c r="C97" i="17"/>
  <c r="B97" i="17"/>
  <c r="H96" i="17"/>
  <c r="F96" i="17"/>
  <c r="E96" i="17"/>
  <c r="D96" i="17"/>
  <c r="C96" i="17"/>
  <c r="B96" i="17"/>
  <c r="H95" i="17"/>
  <c r="F95" i="17"/>
  <c r="E95" i="17"/>
  <c r="D95" i="17"/>
  <c r="C95" i="17"/>
  <c r="B95" i="17"/>
  <c r="H94" i="17"/>
  <c r="F94" i="17"/>
  <c r="E94" i="17"/>
  <c r="D94" i="17"/>
  <c r="C94" i="17"/>
  <c r="B94" i="17"/>
  <c r="H93" i="17"/>
  <c r="F93" i="17"/>
  <c r="E93" i="17"/>
  <c r="D93" i="17"/>
  <c r="C93" i="17"/>
  <c r="B93" i="17"/>
  <c r="H92" i="17"/>
  <c r="F92" i="17"/>
  <c r="E92" i="17"/>
  <c r="D92" i="17"/>
  <c r="C92" i="17"/>
  <c r="B92" i="17"/>
  <c r="H91" i="17"/>
  <c r="F91" i="17"/>
  <c r="E91" i="17"/>
  <c r="D91" i="17"/>
  <c r="C91" i="17"/>
  <c r="B91" i="17"/>
  <c r="H90" i="17"/>
  <c r="F90" i="17"/>
  <c r="E90" i="17"/>
  <c r="D90" i="17"/>
  <c r="C90" i="17"/>
  <c r="B90" i="17"/>
  <c r="H89" i="17"/>
  <c r="F89" i="17"/>
  <c r="E89" i="17"/>
  <c r="D89" i="17"/>
  <c r="C89" i="17"/>
  <c r="B89" i="17"/>
  <c r="H88" i="17"/>
  <c r="F88" i="17"/>
  <c r="E88" i="17"/>
  <c r="D88" i="17"/>
  <c r="C88" i="17"/>
  <c r="B88" i="17"/>
  <c r="H87" i="17"/>
  <c r="F87" i="17"/>
  <c r="E87" i="17"/>
  <c r="D87" i="17"/>
  <c r="C87" i="17"/>
  <c r="B87" i="17"/>
  <c r="H86" i="17"/>
  <c r="F86" i="17"/>
  <c r="E86" i="17"/>
  <c r="D86" i="17"/>
  <c r="C86" i="17"/>
  <c r="B86" i="17"/>
  <c r="H85" i="17"/>
  <c r="F85" i="17"/>
  <c r="E85" i="17"/>
  <c r="D85" i="17"/>
  <c r="C85" i="17"/>
  <c r="B85" i="17"/>
  <c r="H84" i="17"/>
  <c r="F84" i="17"/>
  <c r="E84" i="17"/>
  <c r="D84" i="17"/>
  <c r="C84" i="17"/>
  <c r="B84" i="17"/>
  <c r="H83" i="17"/>
  <c r="F83" i="17"/>
  <c r="E83" i="17"/>
  <c r="D83" i="17"/>
  <c r="C83" i="17"/>
  <c r="B83" i="17"/>
  <c r="H82" i="17"/>
  <c r="F82" i="17"/>
  <c r="E82" i="17"/>
  <c r="D82" i="17"/>
  <c r="C82" i="17"/>
  <c r="B82" i="17"/>
  <c r="H81" i="17"/>
  <c r="F81" i="17"/>
  <c r="E81" i="17"/>
  <c r="D81" i="17"/>
  <c r="C81" i="17"/>
  <c r="B81" i="17"/>
  <c r="H80" i="17"/>
  <c r="F80" i="17"/>
  <c r="E80" i="17"/>
  <c r="D80" i="17"/>
  <c r="C80" i="17"/>
  <c r="B80" i="17"/>
  <c r="H79" i="17"/>
  <c r="F79" i="17"/>
  <c r="E79" i="17"/>
  <c r="D79" i="17"/>
  <c r="C79" i="17"/>
  <c r="B79" i="17"/>
  <c r="H78" i="17"/>
  <c r="F78" i="17"/>
  <c r="E78" i="17"/>
  <c r="D78" i="17"/>
  <c r="C78" i="17"/>
  <c r="B78" i="17"/>
  <c r="H77" i="17"/>
  <c r="F77" i="17"/>
  <c r="E77" i="17"/>
  <c r="D77" i="17"/>
  <c r="C77" i="17"/>
  <c r="B77" i="17"/>
  <c r="H76" i="17"/>
  <c r="F76" i="17"/>
  <c r="E76" i="17"/>
  <c r="D76" i="17"/>
  <c r="C76" i="17"/>
  <c r="B76" i="17"/>
  <c r="H75" i="17"/>
  <c r="F75" i="17"/>
  <c r="E75" i="17"/>
  <c r="D75" i="17"/>
  <c r="C75" i="17"/>
  <c r="B75" i="17"/>
  <c r="H74" i="17"/>
  <c r="F74" i="17"/>
  <c r="E74" i="17"/>
  <c r="D74" i="17"/>
  <c r="C74" i="17"/>
  <c r="B74" i="17"/>
  <c r="H73" i="17"/>
  <c r="F73" i="17"/>
  <c r="E73" i="17"/>
  <c r="D73" i="17"/>
  <c r="C73" i="17"/>
  <c r="B73" i="17"/>
  <c r="H72" i="17"/>
  <c r="F72" i="17"/>
  <c r="E72" i="17"/>
  <c r="D72" i="17"/>
  <c r="C72" i="17"/>
  <c r="B72" i="17"/>
  <c r="H71" i="17"/>
  <c r="F71" i="17"/>
  <c r="E71" i="17"/>
  <c r="D71" i="17"/>
  <c r="C71" i="17"/>
  <c r="B71" i="17"/>
  <c r="H70" i="17"/>
  <c r="F70" i="17"/>
  <c r="E70" i="17"/>
  <c r="D70" i="17"/>
  <c r="C70" i="17"/>
  <c r="B70" i="17"/>
  <c r="H69" i="17"/>
  <c r="F69" i="17"/>
  <c r="E69" i="17"/>
  <c r="D69" i="17"/>
  <c r="C69" i="17"/>
  <c r="B69" i="17"/>
  <c r="H68" i="17"/>
  <c r="F68" i="17"/>
  <c r="E68" i="17"/>
  <c r="D68" i="17"/>
  <c r="C68" i="17"/>
  <c r="B68" i="17"/>
  <c r="H67" i="17"/>
  <c r="F67" i="17"/>
  <c r="E67" i="17"/>
  <c r="D67" i="17"/>
  <c r="C67" i="17"/>
  <c r="B67" i="17"/>
  <c r="H66" i="17"/>
  <c r="F66" i="17"/>
  <c r="E66" i="17"/>
  <c r="D66" i="17"/>
  <c r="C66" i="17"/>
  <c r="B66" i="17"/>
  <c r="H65" i="17"/>
  <c r="F65" i="17"/>
  <c r="E65" i="17"/>
  <c r="D65" i="17"/>
  <c r="C65" i="17"/>
  <c r="B65" i="17"/>
  <c r="H64" i="17"/>
  <c r="F64" i="17"/>
  <c r="E64" i="17"/>
  <c r="D64" i="17"/>
  <c r="C64" i="17"/>
  <c r="B64" i="17"/>
  <c r="H63" i="17"/>
  <c r="F63" i="17"/>
  <c r="E63" i="17"/>
  <c r="D63" i="17"/>
  <c r="C63" i="17"/>
  <c r="B63" i="17"/>
  <c r="H62" i="17"/>
  <c r="F62" i="17"/>
  <c r="E62" i="17"/>
  <c r="D62" i="17"/>
  <c r="C62" i="17"/>
  <c r="B62" i="17"/>
  <c r="H61" i="17"/>
  <c r="F61" i="17"/>
  <c r="E61" i="17"/>
  <c r="D61" i="17"/>
  <c r="C61" i="17"/>
  <c r="B61" i="17"/>
  <c r="H60" i="17"/>
  <c r="F60" i="17"/>
  <c r="E60" i="17"/>
  <c r="D60" i="17"/>
  <c r="C60" i="17"/>
  <c r="B60" i="17"/>
  <c r="H59" i="17"/>
  <c r="F59" i="17"/>
  <c r="E59" i="17"/>
  <c r="D59" i="17"/>
  <c r="C59" i="17"/>
  <c r="B59" i="17"/>
  <c r="H58" i="17"/>
  <c r="F58" i="17"/>
  <c r="E58" i="17"/>
  <c r="D58" i="17"/>
  <c r="C58" i="17"/>
  <c r="B58" i="17"/>
  <c r="H57" i="17"/>
  <c r="F57" i="17"/>
  <c r="E57" i="17"/>
  <c r="D57" i="17"/>
  <c r="C57" i="17"/>
  <c r="B57" i="17"/>
  <c r="H56" i="17"/>
  <c r="F56" i="17"/>
  <c r="E56" i="17"/>
  <c r="D56" i="17"/>
  <c r="C56" i="17"/>
  <c r="B56" i="17"/>
  <c r="H55" i="17"/>
  <c r="F55" i="17"/>
  <c r="E55" i="17"/>
  <c r="D55" i="17"/>
  <c r="C55" i="17"/>
  <c r="B55" i="17"/>
  <c r="H54" i="17"/>
  <c r="F54" i="17"/>
  <c r="E54" i="17"/>
  <c r="D54" i="17"/>
  <c r="C54" i="17"/>
  <c r="B54" i="17"/>
  <c r="H53" i="17"/>
  <c r="F53" i="17"/>
  <c r="E53" i="17"/>
  <c r="D53" i="17"/>
  <c r="C53" i="17"/>
  <c r="B53" i="17"/>
  <c r="H52" i="17"/>
  <c r="F52" i="17"/>
  <c r="E52" i="17"/>
  <c r="D52" i="17"/>
  <c r="C52" i="17"/>
  <c r="B52" i="17"/>
  <c r="H51" i="17"/>
  <c r="F51" i="17"/>
  <c r="E51" i="17"/>
  <c r="D51" i="17"/>
  <c r="C51" i="17"/>
  <c r="B51" i="17"/>
  <c r="H50" i="17"/>
  <c r="F50" i="17"/>
  <c r="E50" i="17"/>
  <c r="D50" i="17"/>
  <c r="C50" i="17"/>
  <c r="B50" i="17"/>
  <c r="H49" i="17"/>
  <c r="F49" i="17"/>
  <c r="E49" i="17"/>
  <c r="D49" i="17"/>
  <c r="C49" i="17"/>
  <c r="B49" i="17"/>
  <c r="H48" i="17"/>
  <c r="F48" i="17"/>
  <c r="E48" i="17"/>
  <c r="D48" i="17"/>
  <c r="C48" i="17"/>
  <c r="B48" i="17"/>
  <c r="H47" i="17"/>
  <c r="F47" i="17"/>
  <c r="E47" i="17"/>
  <c r="D47" i="17"/>
  <c r="C47" i="17"/>
  <c r="B47" i="17"/>
  <c r="H46" i="17"/>
  <c r="F46" i="17"/>
  <c r="E46" i="17"/>
  <c r="D46" i="17"/>
  <c r="C46" i="17"/>
  <c r="B46" i="17"/>
  <c r="H45" i="17"/>
  <c r="F45" i="17"/>
  <c r="E45" i="17"/>
  <c r="D45" i="17"/>
  <c r="C45" i="17"/>
  <c r="B45" i="17"/>
  <c r="H44" i="17"/>
  <c r="F44" i="17"/>
  <c r="E44" i="17"/>
  <c r="D44" i="17"/>
  <c r="C44" i="17"/>
  <c r="B44" i="17"/>
  <c r="H43" i="17"/>
  <c r="F43" i="17"/>
  <c r="E43" i="17"/>
  <c r="D43" i="17"/>
  <c r="C43" i="17"/>
  <c r="B43" i="17"/>
  <c r="H42" i="17"/>
  <c r="F42" i="17"/>
  <c r="E42" i="17"/>
  <c r="D42" i="17"/>
  <c r="C42" i="17"/>
  <c r="B42" i="17"/>
  <c r="H41" i="17"/>
  <c r="F41" i="17"/>
  <c r="E41" i="17"/>
  <c r="D41" i="17"/>
  <c r="C41" i="17"/>
  <c r="B41" i="17"/>
  <c r="H40" i="17"/>
  <c r="F40" i="17"/>
  <c r="E40" i="17"/>
  <c r="D40" i="17"/>
  <c r="C40" i="17"/>
  <c r="B40" i="17"/>
  <c r="H39" i="17"/>
  <c r="F39" i="17"/>
  <c r="E39" i="17"/>
  <c r="D39" i="17"/>
  <c r="C39" i="17"/>
  <c r="B39" i="17"/>
  <c r="H38" i="17"/>
  <c r="F38" i="17"/>
  <c r="E38" i="17"/>
  <c r="D38" i="17"/>
  <c r="C38" i="17"/>
  <c r="B38" i="17"/>
  <c r="H37" i="17"/>
  <c r="F37" i="17"/>
  <c r="E37" i="17"/>
  <c r="D37" i="17"/>
  <c r="C37" i="17"/>
  <c r="B37" i="17"/>
  <c r="H36" i="17"/>
  <c r="F36" i="17"/>
  <c r="E36" i="17"/>
  <c r="D36" i="17"/>
  <c r="C36" i="17"/>
  <c r="B36" i="17"/>
  <c r="H35" i="17"/>
  <c r="F35" i="17"/>
  <c r="E35" i="17"/>
  <c r="D35" i="17"/>
  <c r="C35" i="17"/>
  <c r="B35" i="17"/>
  <c r="H34" i="17"/>
  <c r="F34" i="17"/>
  <c r="E34" i="17"/>
  <c r="D34" i="17"/>
  <c r="C34" i="17"/>
  <c r="B34" i="17"/>
  <c r="H33" i="17"/>
  <c r="F33" i="17"/>
  <c r="E33" i="17"/>
  <c r="D33" i="17"/>
  <c r="C33" i="17"/>
  <c r="B33" i="17"/>
  <c r="H32" i="17"/>
  <c r="F32" i="17"/>
  <c r="E32" i="17"/>
  <c r="D32" i="17"/>
  <c r="C32" i="17"/>
  <c r="B32" i="17"/>
  <c r="H31" i="17"/>
  <c r="F31" i="17"/>
  <c r="E31" i="17"/>
  <c r="D31" i="17"/>
  <c r="C31" i="17"/>
  <c r="B31" i="17"/>
  <c r="H30" i="17"/>
  <c r="F30" i="17"/>
  <c r="E30" i="17"/>
  <c r="D30" i="17"/>
  <c r="C30" i="17"/>
  <c r="B30" i="17"/>
  <c r="H29" i="17"/>
  <c r="F29" i="17"/>
  <c r="E29" i="17"/>
  <c r="D29" i="17"/>
  <c r="C29" i="17"/>
  <c r="B29" i="17"/>
  <c r="H28" i="17"/>
  <c r="F28" i="17"/>
  <c r="E28" i="17"/>
  <c r="D28" i="17"/>
  <c r="C28" i="17"/>
  <c r="B28" i="17"/>
  <c r="H27" i="17"/>
  <c r="F27" i="17"/>
  <c r="E27" i="17"/>
  <c r="D27" i="17"/>
  <c r="C27" i="17"/>
  <c r="B27" i="17"/>
  <c r="H26" i="17"/>
  <c r="F26" i="17"/>
  <c r="E26" i="17"/>
  <c r="D26" i="17"/>
  <c r="C26" i="17"/>
  <c r="B26" i="17"/>
  <c r="H25" i="17"/>
  <c r="F25" i="17"/>
  <c r="E25" i="17"/>
  <c r="D25" i="17"/>
  <c r="C25" i="17"/>
  <c r="B25" i="17"/>
  <c r="H24" i="17"/>
  <c r="F24" i="17"/>
  <c r="E24" i="17"/>
  <c r="D24" i="17"/>
  <c r="C24" i="17"/>
  <c r="B24" i="17"/>
  <c r="H23" i="17"/>
  <c r="F23" i="17"/>
  <c r="E23" i="17"/>
  <c r="D23" i="17"/>
  <c r="C23" i="17"/>
  <c r="B23" i="17"/>
  <c r="H22" i="17"/>
  <c r="F22" i="17"/>
  <c r="E22" i="17"/>
  <c r="D22" i="17"/>
  <c r="C22" i="17"/>
  <c r="B22" i="17"/>
  <c r="H21" i="17"/>
  <c r="F21" i="17"/>
  <c r="E21" i="17"/>
  <c r="D21" i="17"/>
  <c r="C21" i="17"/>
  <c r="B21" i="17"/>
  <c r="H20" i="17"/>
  <c r="F20" i="17"/>
  <c r="E20" i="17"/>
  <c r="D20" i="17"/>
  <c r="C20" i="17"/>
  <c r="B20" i="17"/>
  <c r="H19" i="17"/>
  <c r="F19" i="17"/>
  <c r="E19" i="17"/>
  <c r="D19" i="17"/>
  <c r="C19" i="17"/>
  <c r="B19" i="17"/>
  <c r="H18" i="17"/>
  <c r="F18" i="17"/>
  <c r="E18" i="17"/>
  <c r="D18" i="17"/>
  <c r="C18" i="17"/>
  <c r="B18" i="17"/>
  <c r="H17" i="17"/>
  <c r="F17" i="17"/>
  <c r="E17" i="17"/>
  <c r="D17" i="17"/>
  <c r="C17" i="17"/>
  <c r="B17" i="17"/>
  <c r="H16" i="17"/>
  <c r="F16" i="17"/>
  <c r="E16" i="17"/>
  <c r="D16" i="17"/>
  <c r="C16" i="17"/>
  <c r="B16" i="17"/>
  <c r="H15" i="17"/>
  <c r="F15" i="17"/>
  <c r="E15" i="17"/>
  <c r="D15" i="17"/>
  <c r="C15" i="17"/>
  <c r="B15" i="17"/>
  <c r="H14" i="17"/>
  <c r="F14" i="17"/>
  <c r="E14" i="17"/>
  <c r="D14" i="17"/>
  <c r="C14" i="17"/>
  <c r="B14" i="17"/>
  <c r="H13" i="17"/>
  <c r="F13" i="17"/>
  <c r="E13" i="17"/>
  <c r="D13" i="17"/>
  <c r="C13" i="17"/>
  <c r="B13" i="17"/>
  <c r="H12" i="17"/>
  <c r="F12" i="17"/>
  <c r="E12" i="17"/>
  <c r="D12" i="17"/>
  <c r="C12" i="17"/>
  <c r="B12" i="17"/>
  <c r="H11" i="17"/>
  <c r="F11" i="17"/>
  <c r="E11" i="17"/>
  <c r="D11" i="17"/>
  <c r="C11" i="17"/>
  <c r="B11" i="17"/>
  <c r="H10" i="17"/>
  <c r="F10" i="17"/>
  <c r="E10" i="17"/>
  <c r="D10" i="17"/>
  <c r="C10" i="17"/>
  <c r="B10" i="17"/>
  <c r="H9" i="17"/>
  <c r="F9" i="17"/>
  <c r="E9" i="17"/>
  <c r="D9" i="17"/>
  <c r="C9" i="17"/>
  <c r="B9" i="17"/>
  <c r="H8" i="17"/>
  <c r="F8" i="17"/>
  <c r="E8" i="17"/>
  <c r="D8" i="17"/>
  <c r="C8" i="17"/>
  <c r="B8" i="17"/>
  <c r="H7" i="17"/>
  <c r="F7" i="17"/>
  <c r="E7" i="17"/>
  <c r="D7" i="17"/>
  <c r="C7" i="17"/>
  <c r="B7" i="17"/>
  <c r="C444" i="16"/>
  <c r="C446" i="16" s="1"/>
  <c r="C447" i="16" s="1"/>
  <c r="P126" i="14"/>
  <c r="O126" i="14"/>
  <c r="O117" i="14" s="1"/>
  <c r="N126" i="14"/>
  <c r="M126" i="14"/>
  <c r="L126" i="14"/>
  <c r="K126" i="14"/>
  <c r="J126" i="14"/>
  <c r="I126" i="14"/>
  <c r="H126" i="14"/>
  <c r="G126" i="14"/>
  <c r="F126" i="14"/>
  <c r="E126" i="14"/>
  <c r="D126" i="14"/>
  <c r="C126" i="14"/>
  <c r="B126" i="14"/>
  <c r="P125" i="14"/>
  <c r="O125" i="14"/>
  <c r="N125" i="14"/>
  <c r="M125" i="14"/>
  <c r="L125" i="14"/>
  <c r="K125" i="14"/>
  <c r="J125" i="14"/>
  <c r="I125" i="14"/>
  <c r="H125" i="14"/>
  <c r="G125" i="14"/>
  <c r="F125" i="14"/>
  <c r="E125" i="14"/>
  <c r="D125" i="14"/>
  <c r="C125" i="14"/>
  <c r="B125" i="14"/>
  <c r="P124" i="14"/>
  <c r="O124" i="14"/>
  <c r="N124" i="14"/>
  <c r="M124" i="14"/>
  <c r="L124" i="14"/>
  <c r="K124" i="14"/>
  <c r="J124" i="14"/>
  <c r="I124" i="14"/>
  <c r="H124" i="14"/>
  <c r="G124" i="14"/>
  <c r="F124" i="14"/>
  <c r="E124" i="14"/>
  <c r="D124" i="14"/>
  <c r="C124" i="14"/>
  <c r="B124" i="14"/>
  <c r="P123" i="14"/>
  <c r="O123" i="14"/>
  <c r="N123" i="14"/>
  <c r="M123" i="14"/>
  <c r="L123" i="14"/>
  <c r="K123" i="14"/>
  <c r="J123" i="14"/>
  <c r="I123" i="14"/>
  <c r="H123" i="14"/>
  <c r="G123" i="14"/>
  <c r="F123" i="14"/>
  <c r="E123" i="14"/>
  <c r="D123" i="14"/>
  <c r="C123" i="14"/>
  <c r="B123" i="14"/>
  <c r="P122" i="14"/>
  <c r="O122" i="14"/>
  <c r="N122" i="14"/>
  <c r="M122" i="14"/>
  <c r="L122" i="14"/>
  <c r="K122" i="14"/>
  <c r="J122" i="14"/>
  <c r="I122" i="14"/>
  <c r="H122" i="14"/>
  <c r="G122" i="14"/>
  <c r="F122" i="14"/>
  <c r="E122" i="14"/>
  <c r="D122" i="14"/>
  <c r="C122" i="14"/>
  <c r="B122" i="14"/>
  <c r="P121" i="14"/>
  <c r="O121" i="14"/>
  <c r="N121" i="14"/>
  <c r="M121" i="14"/>
  <c r="L121" i="14"/>
  <c r="K121" i="14"/>
  <c r="J121" i="14"/>
  <c r="I121" i="14"/>
  <c r="H121" i="14"/>
  <c r="G121" i="14"/>
  <c r="F121" i="14"/>
  <c r="E121" i="14"/>
  <c r="D121" i="14"/>
  <c r="C121" i="14"/>
  <c r="B121" i="14"/>
  <c r="P120" i="14"/>
  <c r="O120" i="14"/>
  <c r="N120" i="14"/>
  <c r="M120" i="14"/>
  <c r="L120" i="14"/>
  <c r="K120" i="14"/>
  <c r="J120" i="14"/>
  <c r="I120" i="14"/>
  <c r="H120" i="14"/>
  <c r="G120" i="14"/>
  <c r="F120" i="14"/>
  <c r="E120" i="14"/>
  <c r="D120" i="14"/>
  <c r="C120" i="14"/>
  <c r="B120" i="14"/>
  <c r="P119" i="14"/>
  <c r="O119" i="14"/>
  <c r="N119" i="14"/>
  <c r="M119" i="14"/>
  <c r="M117" i="14" s="1"/>
  <c r="L119" i="14"/>
  <c r="L117" i="14" s="1"/>
  <c r="K119" i="14"/>
  <c r="K117" i="14" s="1"/>
  <c r="J119" i="14"/>
  <c r="J117" i="14" s="1"/>
  <c r="I119" i="14"/>
  <c r="I117" i="14" s="1"/>
  <c r="H119" i="14"/>
  <c r="H117" i="14" s="1"/>
  <c r="G119" i="14"/>
  <c r="G117" i="14" s="1"/>
  <c r="F119" i="14"/>
  <c r="F117" i="14" s="1"/>
  <c r="E119" i="14"/>
  <c r="E117" i="14" s="1"/>
  <c r="D119" i="14"/>
  <c r="D117" i="14" s="1"/>
  <c r="C119" i="14"/>
  <c r="B119" i="14"/>
  <c r="P117" i="14"/>
  <c r="N117" i="14"/>
  <c r="P115" i="14"/>
  <c r="O115" i="14"/>
  <c r="N115" i="14"/>
  <c r="M115" i="14"/>
  <c r="L115" i="14"/>
  <c r="K115" i="14"/>
  <c r="J115" i="14"/>
  <c r="I115" i="14"/>
  <c r="H115" i="14"/>
  <c r="G115" i="14"/>
  <c r="F115" i="14"/>
  <c r="E115" i="14"/>
  <c r="D115" i="14"/>
  <c r="B115" i="14"/>
  <c r="C113" i="14"/>
  <c r="C112" i="14"/>
  <c r="C111" i="14"/>
  <c r="C110" i="14"/>
  <c r="C109" i="14"/>
  <c r="C108" i="14"/>
  <c r="C107" i="14"/>
  <c r="C106" i="14"/>
  <c r="C105" i="14"/>
  <c r="C104" i="14"/>
  <c r="E103" i="14"/>
  <c r="C103" i="14"/>
  <c r="C102" i="14"/>
  <c r="C101" i="14"/>
  <c r="L100" i="14"/>
  <c r="C100" i="14"/>
  <c r="C99" i="14"/>
  <c r="C98" i="14"/>
  <c r="C97" i="14"/>
  <c r="C96" i="14"/>
  <c r="B96" i="14"/>
  <c r="C94" i="14"/>
  <c r="C93" i="14"/>
  <c r="C92" i="14"/>
  <c r="C91" i="14"/>
  <c r="C90" i="14"/>
  <c r="C89" i="14"/>
  <c r="C88" i="14"/>
  <c r="C87" i="14"/>
  <c r="C86" i="14"/>
  <c r="C85" i="14"/>
  <c r="C84" i="14"/>
  <c r="C83" i="14"/>
  <c r="C82" i="14"/>
  <c r="C81" i="14"/>
  <c r="B81" i="14"/>
  <c r="C79" i="14"/>
  <c r="C78" i="14"/>
  <c r="B78" i="14"/>
  <c r="C76" i="14"/>
  <c r="C75" i="14"/>
  <c r="B75" i="14"/>
  <c r="C73" i="14"/>
  <c r="C72" i="14"/>
  <c r="C71" i="14"/>
  <c r="C70" i="14"/>
  <c r="B70" i="14"/>
  <c r="C68" i="14"/>
  <c r="C67" i="14"/>
  <c r="C66" i="14"/>
  <c r="C65" i="14"/>
  <c r="C64" i="14"/>
  <c r="B64" i="14"/>
  <c r="C62" i="14"/>
  <c r="C61" i="14"/>
  <c r="B61" i="14"/>
  <c r="C59" i="14"/>
  <c r="C58" i="14"/>
  <c r="B58" i="14"/>
  <c r="C56" i="14"/>
  <c r="C55" i="14"/>
  <c r="B55" i="14"/>
  <c r="C53" i="14"/>
  <c r="C52" i="14"/>
  <c r="C51" i="14"/>
  <c r="C50" i="14"/>
  <c r="C49" i="14"/>
  <c r="C48" i="14"/>
  <c r="B48" i="14"/>
  <c r="C46" i="14"/>
  <c r="C45" i="14"/>
  <c r="C44" i="14"/>
  <c r="C43" i="14"/>
  <c r="B43" i="14"/>
  <c r="C41" i="14"/>
  <c r="C40" i="14"/>
  <c r="C39" i="14"/>
  <c r="B39" i="14"/>
  <c r="C37" i="14"/>
  <c r="C36" i="14"/>
  <c r="C35" i="14"/>
  <c r="C34" i="14"/>
  <c r="B34" i="14"/>
  <c r="C32" i="14"/>
  <c r="C31" i="14"/>
  <c r="C30" i="14"/>
  <c r="C29" i="14"/>
  <c r="B29" i="14"/>
  <c r="C24" i="14"/>
  <c r="C23" i="14"/>
  <c r="C22" i="14"/>
  <c r="C21" i="14"/>
  <c r="C20" i="14"/>
  <c r="C19" i="14"/>
  <c r="C18" i="14"/>
  <c r="C17" i="14"/>
  <c r="C16" i="14"/>
  <c r="C15" i="14"/>
  <c r="C14" i="14"/>
  <c r="C13" i="14"/>
  <c r="C12" i="14"/>
  <c r="C11" i="14"/>
  <c r="O9" i="14"/>
  <c r="O25" i="14" s="1"/>
  <c r="N9" i="14"/>
  <c r="N25" i="14" s="1"/>
  <c r="M9" i="14"/>
  <c r="M25" i="14" s="1"/>
  <c r="L9" i="14"/>
  <c r="L25" i="14" s="1"/>
  <c r="K9" i="14"/>
  <c r="K25" i="14" s="1"/>
  <c r="J9" i="14"/>
  <c r="J25" i="14" s="1"/>
  <c r="I9" i="14"/>
  <c r="I25" i="14" s="1"/>
  <c r="H9" i="14"/>
  <c r="H25" i="14" s="1"/>
  <c r="G9" i="14"/>
  <c r="G25" i="14" s="1"/>
  <c r="F9" i="14"/>
  <c r="F25" i="14" s="1"/>
  <c r="E9" i="14"/>
  <c r="E25" i="14" s="1"/>
  <c r="D9" i="14"/>
  <c r="D25" i="14" s="1"/>
  <c r="B7" i="14"/>
  <c r="C55" i="13"/>
  <c r="C54" i="13"/>
  <c r="C53" i="13"/>
  <c r="C52" i="13"/>
  <c r="B35" i="13"/>
  <c r="C31" i="13"/>
  <c r="C30" i="13"/>
  <c r="C29" i="13"/>
  <c r="B7" i="13"/>
  <c r="B46" i="12"/>
  <c r="B45" i="12"/>
  <c r="B44" i="12"/>
  <c r="B43" i="12"/>
  <c r="B42" i="12"/>
  <c r="B41" i="12"/>
  <c r="B40" i="12"/>
  <c r="B39" i="12"/>
  <c r="B38" i="12"/>
  <c r="B37" i="12"/>
  <c r="B36" i="12"/>
  <c r="B35" i="12"/>
  <c r="I25" i="12"/>
  <c r="I24" i="12"/>
  <c r="I21" i="12"/>
  <c r="I20" i="12"/>
  <c r="I19" i="12"/>
  <c r="I18" i="12"/>
  <c r="I16" i="12"/>
  <c r="I15" i="12"/>
  <c r="I14" i="12"/>
  <c r="I13" i="12"/>
  <c r="I11" i="12"/>
  <c r="C11" i="12"/>
  <c r="I10" i="12"/>
  <c r="C10" i="12"/>
  <c r="C8" i="12"/>
  <c r="I7" i="12"/>
  <c r="C7" i="12"/>
  <c r="C9" i="12" s="1"/>
  <c r="B4" i="12"/>
  <c r="C69" i="11"/>
  <c r="C71" i="11" s="1"/>
  <c r="C72" i="11" s="1"/>
  <c r="N67" i="11"/>
  <c r="M67" i="11"/>
  <c r="L67" i="11"/>
  <c r="K67" i="11"/>
  <c r="J67" i="11"/>
  <c r="C67" i="11"/>
  <c r="N66" i="11"/>
  <c r="M66" i="11"/>
  <c r="L66" i="11"/>
  <c r="K66" i="11"/>
  <c r="J66" i="11"/>
  <c r="C66" i="11"/>
  <c r="N65" i="11"/>
  <c r="M65" i="11"/>
  <c r="L65" i="11"/>
  <c r="K65" i="11"/>
  <c r="J65" i="11"/>
  <c r="C65" i="11"/>
  <c r="N64" i="11"/>
  <c r="M64" i="11"/>
  <c r="L64" i="11"/>
  <c r="K64" i="11"/>
  <c r="J64" i="11"/>
  <c r="C64" i="11"/>
  <c r="N63" i="11"/>
  <c r="M63" i="11"/>
  <c r="L63" i="11"/>
  <c r="K63" i="11"/>
  <c r="J63" i="11"/>
  <c r="C63" i="11"/>
  <c r="N62" i="11"/>
  <c r="M62" i="11"/>
  <c r="L62" i="11"/>
  <c r="K62" i="11"/>
  <c r="J62" i="11"/>
  <c r="C62" i="11"/>
  <c r="N61" i="11"/>
  <c r="M61" i="11"/>
  <c r="L61" i="11"/>
  <c r="K61" i="11"/>
  <c r="J61" i="11"/>
  <c r="C61" i="11"/>
  <c r="N60" i="11"/>
  <c r="M60" i="11"/>
  <c r="L60" i="11"/>
  <c r="K60" i="11"/>
  <c r="J60" i="11"/>
  <c r="C60" i="11"/>
  <c r="N59" i="11"/>
  <c r="M59" i="11"/>
  <c r="L59" i="11"/>
  <c r="K59" i="11"/>
  <c r="J59" i="11"/>
  <c r="C59" i="11"/>
  <c r="N58" i="11"/>
  <c r="M58" i="11"/>
  <c r="L58" i="11"/>
  <c r="K58" i="11"/>
  <c r="J58" i="11"/>
  <c r="C58" i="11"/>
  <c r="N57" i="11"/>
  <c r="M57" i="11"/>
  <c r="L57" i="11"/>
  <c r="K57" i="11"/>
  <c r="J57" i="11"/>
  <c r="C57" i="11"/>
  <c r="N56" i="11"/>
  <c r="M56" i="11"/>
  <c r="L56" i="11"/>
  <c r="K56" i="11"/>
  <c r="J56" i="11"/>
  <c r="C56" i="11"/>
  <c r="N55" i="11"/>
  <c r="M55" i="11"/>
  <c r="L55" i="11"/>
  <c r="K55" i="11"/>
  <c r="J55" i="11"/>
  <c r="C55" i="11"/>
  <c r="N54" i="11"/>
  <c r="M54" i="11"/>
  <c r="L54" i="11"/>
  <c r="K54" i="11"/>
  <c r="J54" i="11"/>
  <c r="C54" i="11"/>
  <c r="N53" i="11"/>
  <c r="M53" i="11"/>
  <c r="L53" i="11"/>
  <c r="K53" i="11"/>
  <c r="J53" i="11"/>
  <c r="C53" i="11"/>
  <c r="N52" i="11"/>
  <c r="M52" i="11"/>
  <c r="L52" i="11"/>
  <c r="K52" i="11"/>
  <c r="J52" i="11"/>
  <c r="C52" i="11"/>
  <c r="N51" i="11"/>
  <c r="M51" i="11"/>
  <c r="L51" i="11"/>
  <c r="K51" i="11"/>
  <c r="J51" i="11"/>
  <c r="C51" i="11"/>
  <c r="N50" i="11"/>
  <c r="M50" i="11"/>
  <c r="L50" i="11"/>
  <c r="K50" i="11"/>
  <c r="J50" i="11"/>
  <c r="C50" i="11"/>
  <c r="N49" i="11"/>
  <c r="M49" i="11"/>
  <c r="L49" i="11"/>
  <c r="K49" i="11"/>
  <c r="J49" i="11"/>
  <c r="C49" i="11"/>
  <c r="N48" i="11"/>
  <c r="M48" i="11"/>
  <c r="L48" i="11"/>
  <c r="K48" i="11"/>
  <c r="J48" i="11"/>
  <c r="C48" i="11"/>
  <c r="N47" i="11"/>
  <c r="M47" i="11"/>
  <c r="L47" i="11"/>
  <c r="K47" i="11"/>
  <c r="J47" i="11"/>
  <c r="C47" i="11"/>
  <c r="N46" i="11"/>
  <c r="M46" i="11"/>
  <c r="L46" i="11"/>
  <c r="K46" i="11"/>
  <c r="J46" i="11"/>
  <c r="C46" i="11"/>
  <c r="N45" i="11"/>
  <c r="M45" i="11"/>
  <c r="L45" i="11"/>
  <c r="K45" i="11"/>
  <c r="J45" i="11"/>
  <c r="C45" i="11"/>
  <c r="N44" i="11"/>
  <c r="M44" i="11"/>
  <c r="L44" i="11"/>
  <c r="K44" i="11"/>
  <c r="J44" i="11"/>
  <c r="C44" i="11"/>
  <c r="N43" i="11"/>
  <c r="M43" i="11"/>
  <c r="L43" i="11"/>
  <c r="K43" i="11"/>
  <c r="J43" i="11"/>
  <c r="C43" i="11"/>
  <c r="N42" i="11"/>
  <c r="M42" i="11"/>
  <c r="L42" i="11"/>
  <c r="K42" i="11"/>
  <c r="J42" i="11"/>
  <c r="C42" i="11"/>
  <c r="N41" i="11"/>
  <c r="M41" i="11"/>
  <c r="L41" i="11"/>
  <c r="K41" i="11"/>
  <c r="J41" i="11"/>
  <c r="C41" i="11"/>
  <c r="N40" i="11"/>
  <c r="M40" i="11"/>
  <c r="L40" i="11"/>
  <c r="K40" i="11"/>
  <c r="J40" i="11"/>
  <c r="C40" i="11"/>
  <c r="N39" i="11"/>
  <c r="M39" i="11"/>
  <c r="L39" i="11"/>
  <c r="K39" i="11"/>
  <c r="J39" i="11"/>
  <c r="C39" i="11"/>
  <c r="N38" i="11"/>
  <c r="M38" i="11"/>
  <c r="L38" i="11"/>
  <c r="K38" i="11"/>
  <c r="J38" i="11"/>
  <c r="C38" i="11"/>
  <c r="N37" i="11"/>
  <c r="M37" i="11"/>
  <c r="L37" i="11"/>
  <c r="K37" i="11"/>
  <c r="J37" i="11"/>
  <c r="C37" i="11"/>
  <c r="N36" i="11"/>
  <c r="M36" i="11"/>
  <c r="L36" i="11"/>
  <c r="K36" i="11"/>
  <c r="J36" i="11"/>
  <c r="C36" i="11"/>
  <c r="N35" i="11"/>
  <c r="M35" i="11"/>
  <c r="L35" i="11"/>
  <c r="K35" i="11"/>
  <c r="J35" i="11"/>
  <c r="C35" i="11"/>
  <c r="N34" i="11"/>
  <c r="M34" i="11"/>
  <c r="L34" i="11"/>
  <c r="K34" i="11"/>
  <c r="J34" i="11"/>
  <c r="C34" i="11"/>
  <c r="N33" i="11"/>
  <c r="M33" i="11"/>
  <c r="L33" i="11"/>
  <c r="K33" i="11"/>
  <c r="J33" i="11"/>
  <c r="C33" i="11"/>
  <c r="N32" i="11"/>
  <c r="M32" i="11"/>
  <c r="L32" i="11"/>
  <c r="K32" i="11"/>
  <c r="J32" i="11"/>
  <c r="C32" i="11"/>
  <c r="N31" i="11"/>
  <c r="M31" i="11"/>
  <c r="L31" i="11"/>
  <c r="K31" i="11"/>
  <c r="J31" i="11"/>
  <c r="C31" i="11"/>
  <c r="N30" i="11"/>
  <c r="M30" i="11"/>
  <c r="L30" i="11"/>
  <c r="K30" i="11"/>
  <c r="J30" i="11"/>
  <c r="C30" i="11"/>
  <c r="N29" i="11"/>
  <c r="M29" i="11"/>
  <c r="L29" i="11"/>
  <c r="K29" i="11"/>
  <c r="J29" i="11"/>
  <c r="C29" i="11"/>
  <c r="N28" i="11"/>
  <c r="M28" i="11"/>
  <c r="L28" i="11"/>
  <c r="K28" i="11"/>
  <c r="J28" i="11"/>
  <c r="C28" i="11"/>
  <c r="N27" i="11"/>
  <c r="M27" i="11"/>
  <c r="L27" i="11"/>
  <c r="K27" i="11"/>
  <c r="J27" i="11"/>
  <c r="C27" i="11"/>
  <c r="N26" i="11"/>
  <c r="M26" i="11"/>
  <c r="L26" i="11"/>
  <c r="K26" i="11"/>
  <c r="J26" i="11"/>
  <c r="C26" i="11"/>
  <c r="N25" i="11"/>
  <c r="M25" i="11"/>
  <c r="L25" i="11"/>
  <c r="K25" i="11"/>
  <c r="J25" i="11"/>
  <c r="C25" i="11"/>
  <c r="N24" i="11"/>
  <c r="M24" i="11"/>
  <c r="L24" i="11"/>
  <c r="K24" i="11"/>
  <c r="J24" i="11"/>
  <c r="C24" i="11"/>
  <c r="N23" i="11"/>
  <c r="M23" i="11"/>
  <c r="L23" i="11"/>
  <c r="K23" i="11"/>
  <c r="J23" i="11"/>
  <c r="C23" i="11"/>
  <c r="N22" i="11"/>
  <c r="M22" i="11"/>
  <c r="L22" i="11"/>
  <c r="K22" i="11"/>
  <c r="J22" i="11"/>
  <c r="C22" i="11"/>
  <c r="N21" i="11"/>
  <c r="M21" i="11"/>
  <c r="L21" i="11"/>
  <c r="K21" i="11"/>
  <c r="J21" i="11"/>
  <c r="C21" i="11"/>
  <c r="N20" i="11"/>
  <c r="M20" i="11"/>
  <c r="L20" i="11"/>
  <c r="K20" i="11"/>
  <c r="J20" i="11"/>
  <c r="C20" i="11"/>
  <c r="N19" i="11"/>
  <c r="M19" i="11"/>
  <c r="L19" i="11"/>
  <c r="K19" i="11"/>
  <c r="J19" i="11"/>
  <c r="C19" i="11"/>
  <c r="N18" i="11"/>
  <c r="M18" i="11"/>
  <c r="L18" i="11"/>
  <c r="K18" i="11"/>
  <c r="J18" i="11"/>
  <c r="C18" i="11"/>
  <c r="N17" i="11"/>
  <c r="M17" i="11"/>
  <c r="L17" i="11"/>
  <c r="K17" i="11"/>
  <c r="J17" i="11"/>
  <c r="C17" i="11"/>
  <c r="N16" i="11"/>
  <c r="M16" i="11"/>
  <c r="L16" i="11"/>
  <c r="K16" i="11"/>
  <c r="J16" i="11"/>
  <c r="C16" i="11"/>
  <c r="N15" i="11"/>
  <c r="M15" i="11"/>
  <c r="L15" i="11"/>
  <c r="K15" i="11"/>
  <c r="J15" i="11"/>
  <c r="C15" i="11"/>
  <c r="N14" i="11"/>
  <c r="M14" i="11"/>
  <c r="L14" i="11"/>
  <c r="K14" i="11"/>
  <c r="J14" i="11"/>
  <c r="C14" i="11"/>
  <c r="N13" i="11"/>
  <c r="M13" i="11"/>
  <c r="L13" i="11"/>
  <c r="K13" i="11"/>
  <c r="J13" i="11"/>
  <c r="C13" i="11"/>
  <c r="N12" i="11"/>
  <c r="M12" i="11"/>
  <c r="L12" i="11"/>
  <c r="K12" i="11"/>
  <c r="J12" i="11"/>
  <c r="C12" i="11"/>
  <c r="N11" i="11"/>
  <c r="M11" i="11"/>
  <c r="L11" i="11"/>
  <c r="K11" i="11"/>
  <c r="J11" i="11"/>
  <c r="C11" i="11"/>
  <c r="N10" i="11"/>
  <c r="M10" i="11"/>
  <c r="L10" i="11"/>
  <c r="K10" i="11"/>
  <c r="J10" i="11"/>
  <c r="C10" i="11"/>
  <c r="N9" i="11"/>
  <c r="M9" i="11"/>
  <c r="L9" i="11"/>
  <c r="K9" i="11"/>
  <c r="J9" i="11"/>
  <c r="C9" i="11"/>
  <c r="N8" i="11"/>
  <c r="J75" i="11" s="1"/>
  <c r="M8" i="11"/>
  <c r="L8" i="11"/>
  <c r="K8" i="11"/>
  <c r="J8" i="11"/>
  <c r="C8" i="11"/>
  <c r="F315" i="10"/>
  <c r="C39" i="13" s="1"/>
  <c r="C309" i="10"/>
  <c r="C311" i="10" s="1"/>
  <c r="C312" i="10" s="1"/>
  <c r="I307" i="10"/>
  <c r="H307" i="10"/>
  <c r="G307" i="10"/>
  <c r="I306" i="10"/>
  <c r="H306" i="10"/>
  <c r="G306" i="10"/>
  <c r="I305" i="10"/>
  <c r="H305" i="10"/>
  <c r="G305" i="10"/>
  <c r="I304" i="10"/>
  <c r="H304" i="10"/>
  <c r="G304" i="10"/>
  <c r="I303" i="10"/>
  <c r="H303" i="10"/>
  <c r="G303" i="10"/>
  <c r="I302" i="10"/>
  <c r="H302" i="10"/>
  <c r="G302" i="10"/>
  <c r="I301" i="10"/>
  <c r="H301" i="10"/>
  <c r="G301" i="10"/>
  <c r="I300" i="10"/>
  <c r="H300" i="10"/>
  <c r="G300" i="10"/>
  <c r="I299" i="10"/>
  <c r="H299" i="10"/>
  <c r="G299" i="10"/>
  <c r="I298" i="10"/>
  <c r="H298" i="10"/>
  <c r="G298" i="10"/>
  <c r="I297" i="10"/>
  <c r="H297" i="10"/>
  <c r="G297" i="10"/>
  <c r="I296" i="10"/>
  <c r="H296" i="10"/>
  <c r="G296" i="10"/>
  <c r="I295" i="10"/>
  <c r="H295" i="10"/>
  <c r="G295" i="10"/>
  <c r="I294" i="10"/>
  <c r="H294" i="10"/>
  <c r="G294" i="10"/>
  <c r="I293" i="10"/>
  <c r="H293" i="10"/>
  <c r="G293" i="10"/>
  <c r="I292" i="10"/>
  <c r="H292" i="10"/>
  <c r="G292" i="10"/>
  <c r="I291" i="10"/>
  <c r="H291" i="10"/>
  <c r="G291" i="10"/>
  <c r="I290" i="10"/>
  <c r="H290" i="10"/>
  <c r="G290" i="10"/>
  <c r="I289" i="10"/>
  <c r="H289" i="10"/>
  <c r="G289" i="10"/>
  <c r="I288" i="10"/>
  <c r="H288" i="10"/>
  <c r="G288" i="10"/>
  <c r="I287" i="10"/>
  <c r="H287" i="10"/>
  <c r="G287" i="10"/>
  <c r="I286" i="10"/>
  <c r="H286" i="10"/>
  <c r="G286" i="10"/>
  <c r="I285" i="10"/>
  <c r="H285" i="10"/>
  <c r="G285" i="10"/>
  <c r="I284" i="10"/>
  <c r="H284" i="10"/>
  <c r="G284" i="10"/>
  <c r="I283" i="10"/>
  <c r="H283" i="10"/>
  <c r="G283" i="10"/>
  <c r="I282" i="10"/>
  <c r="H282" i="10"/>
  <c r="G282" i="10"/>
  <c r="I281" i="10"/>
  <c r="H281" i="10"/>
  <c r="G281" i="10"/>
  <c r="I280" i="10"/>
  <c r="H280" i="10"/>
  <c r="G280" i="10"/>
  <c r="I279" i="10"/>
  <c r="H279" i="10"/>
  <c r="G279" i="10"/>
  <c r="I278" i="10"/>
  <c r="H278" i="10"/>
  <c r="G278" i="10"/>
  <c r="I277" i="10"/>
  <c r="H277" i="10"/>
  <c r="G277" i="10"/>
  <c r="I276" i="10"/>
  <c r="H276" i="10"/>
  <c r="G276" i="10"/>
  <c r="I275" i="10"/>
  <c r="H275" i="10"/>
  <c r="G275" i="10"/>
  <c r="I274" i="10"/>
  <c r="H274" i="10"/>
  <c r="G274" i="10"/>
  <c r="I273" i="10"/>
  <c r="H273" i="10"/>
  <c r="G273" i="10"/>
  <c r="I272" i="10"/>
  <c r="H272" i="10"/>
  <c r="G272" i="10"/>
  <c r="I271" i="10"/>
  <c r="H271" i="10"/>
  <c r="G271" i="10"/>
  <c r="I270" i="10"/>
  <c r="H270" i="10"/>
  <c r="G270" i="10"/>
  <c r="I269" i="10"/>
  <c r="H269" i="10"/>
  <c r="G269" i="10"/>
  <c r="I268" i="10"/>
  <c r="H268" i="10"/>
  <c r="G268" i="10"/>
  <c r="I267" i="10"/>
  <c r="H267" i="10"/>
  <c r="G267" i="10"/>
  <c r="I266" i="10"/>
  <c r="H266" i="10"/>
  <c r="G266" i="10"/>
  <c r="I265" i="10"/>
  <c r="H265" i="10"/>
  <c r="G265" i="10"/>
  <c r="I264" i="10"/>
  <c r="H264" i="10"/>
  <c r="G264" i="10"/>
  <c r="I263" i="10"/>
  <c r="H263" i="10"/>
  <c r="G263" i="10"/>
  <c r="I262" i="10"/>
  <c r="H262" i="10"/>
  <c r="G262" i="10"/>
  <c r="I261" i="10"/>
  <c r="H261" i="10"/>
  <c r="G261" i="10"/>
  <c r="I260" i="10"/>
  <c r="H260" i="10"/>
  <c r="G260" i="10"/>
  <c r="I259" i="10"/>
  <c r="H259" i="10"/>
  <c r="G259" i="10"/>
  <c r="I258" i="10"/>
  <c r="H258" i="10"/>
  <c r="G258" i="10"/>
  <c r="I257" i="10"/>
  <c r="H257" i="10"/>
  <c r="G257" i="10"/>
  <c r="I256" i="10"/>
  <c r="H256" i="10"/>
  <c r="G256" i="10"/>
  <c r="I255" i="10"/>
  <c r="H255" i="10"/>
  <c r="G255" i="10"/>
  <c r="I254" i="10"/>
  <c r="H254" i="10"/>
  <c r="G254" i="10"/>
  <c r="I253" i="10"/>
  <c r="H253" i="10"/>
  <c r="G253" i="10"/>
  <c r="I252" i="10"/>
  <c r="H252" i="10"/>
  <c r="G252" i="10"/>
  <c r="I251" i="10"/>
  <c r="H251" i="10"/>
  <c r="G251" i="10"/>
  <c r="I250" i="10"/>
  <c r="H250" i="10"/>
  <c r="G250" i="10"/>
  <c r="I249" i="10"/>
  <c r="H249" i="10"/>
  <c r="G249" i="10"/>
  <c r="I248" i="10"/>
  <c r="H248" i="10"/>
  <c r="G248" i="10"/>
  <c r="I247" i="10"/>
  <c r="H247" i="10"/>
  <c r="G247" i="10"/>
  <c r="I246" i="10"/>
  <c r="H246" i="10"/>
  <c r="G246" i="10"/>
  <c r="I245" i="10"/>
  <c r="H245" i="10"/>
  <c r="G245" i="10"/>
  <c r="I244" i="10"/>
  <c r="H244" i="10"/>
  <c r="G244" i="10"/>
  <c r="I243" i="10"/>
  <c r="H243" i="10"/>
  <c r="G243" i="10"/>
  <c r="I242" i="10"/>
  <c r="H242" i="10"/>
  <c r="G242" i="10"/>
  <c r="I241" i="10"/>
  <c r="H241" i="10"/>
  <c r="G241" i="10"/>
  <c r="I240" i="10"/>
  <c r="H240" i="10"/>
  <c r="G240" i="10"/>
  <c r="I239" i="10"/>
  <c r="H239" i="10"/>
  <c r="G239" i="10"/>
  <c r="I238" i="10"/>
  <c r="H238" i="10"/>
  <c r="G238" i="10"/>
  <c r="I237" i="10"/>
  <c r="H237" i="10"/>
  <c r="G237" i="10"/>
  <c r="I236" i="10"/>
  <c r="H236" i="10"/>
  <c r="G236" i="10"/>
  <c r="I235" i="10"/>
  <c r="H235" i="10"/>
  <c r="G235" i="10"/>
  <c r="I234" i="10"/>
  <c r="H234" i="10"/>
  <c r="G234" i="10"/>
  <c r="I233" i="10"/>
  <c r="H233" i="10"/>
  <c r="G233" i="10"/>
  <c r="I232" i="10"/>
  <c r="H232" i="10"/>
  <c r="G232" i="10"/>
  <c r="I231" i="10"/>
  <c r="H231" i="10"/>
  <c r="G231" i="10"/>
  <c r="I230" i="10"/>
  <c r="H230" i="10"/>
  <c r="G230" i="10"/>
  <c r="I229" i="10"/>
  <c r="H229" i="10"/>
  <c r="G229" i="10"/>
  <c r="I228" i="10"/>
  <c r="H228" i="10"/>
  <c r="G228" i="10"/>
  <c r="I227" i="10"/>
  <c r="H227" i="10"/>
  <c r="G227" i="10"/>
  <c r="I226" i="10"/>
  <c r="H226" i="10"/>
  <c r="G226" i="10"/>
  <c r="I225" i="10"/>
  <c r="H225" i="10"/>
  <c r="G225" i="10"/>
  <c r="I224" i="10"/>
  <c r="H224" i="10"/>
  <c r="G224" i="10"/>
  <c r="I223" i="10"/>
  <c r="H223" i="10"/>
  <c r="G223" i="10"/>
  <c r="I222" i="10"/>
  <c r="H222" i="10"/>
  <c r="G222" i="10"/>
  <c r="I221" i="10"/>
  <c r="H221" i="10"/>
  <c r="G221" i="10"/>
  <c r="I220" i="10"/>
  <c r="H220" i="10"/>
  <c r="G220" i="10"/>
  <c r="I219" i="10"/>
  <c r="H219" i="10"/>
  <c r="G219" i="10"/>
  <c r="I218" i="10"/>
  <c r="H218" i="10"/>
  <c r="G218" i="10"/>
  <c r="I217" i="10"/>
  <c r="H217" i="10"/>
  <c r="G217" i="10"/>
  <c r="I216" i="10"/>
  <c r="H216" i="10"/>
  <c r="G216" i="10"/>
  <c r="I215" i="10"/>
  <c r="H215" i="10"/>
  <c r="G215" i="10"/>
  <c r="I214" i="10"/>
  <c r="H214" i="10"/>
  <c r="G214" i="10"/>
  <c r="I213" i="10"/>
  <c r="H213" i="10"/>
  <c r="G213" i="10"/>
  <c r="I212" i="10"/>
  <c r="H212" i="10"/>
  <c r="G212" i="10"/>
  <c r="I211" i="10"/>
  <c r="H211" i="10"/>
  <c r="G211" i="10"/>
  <c r="I210" i="10"/>
  <c r="H210" i="10"/>
  <c r="G210" i="10"/>
  <c r="I209" i="10"/>
  <c r="H209" i="10"/>
  <c r="G209" i="10"/>
  <c r="I208" i="10"/>
  <c r="H208" i="10"/>
  <c r="G208" i="10"/>
  <c r="I207" i="10"/>
  <c r="H207" i="10"/>
  <c r="G207" i="10"/>
  <c r="I206" i="10"/>
  <c r="H206" i="10"/>
  <c r="G206" i="10"/>
  <c r="I205" i="10"/>
  <c r="H205" i="10"/>
  <c r="G205" i="10"/>
  <c r="I204" i="10"/>
  <c r="H204" i="10"/>
  <c r="G204" i="10"/>
  <c r="I203" i="10"/>
  <c r="H203" i="10"/>
  <c r="G203" i="10"/>
  <c r="I202" i="10"/>
  <c r="H202" i="10"/>
  <c r="G202" i="10"/>
  <c r="I201" i="10"/>
  <c r="H201" i="10"/>
  <c r="G201" i="10"/>
  <c r="I200" i="10"/>
  <c r="H200" i="10"/>
  <c r="G200" i="10"/>
  <c r="I199" i="10"/>
  <c r="H199" i="10"/>
  <c r="G199" i="10"/>
  <c r="I198" i="10"/>
  <c r="H198" i="10"/>
  <c r="G198" i="10"/>
  <c r="I197" i="10"/>
  <c r="H197" i="10"/>
  <c r="G197" i="10"/>
  <c r="I196" i="10"/>
  <c r="H196" i="10"/>
  <c r="G196" i="10"/>
  <c r="I195" i="10"/>
  <c r="H195" i="10"/>
  <c r="G195" i="10"/>
  <c r="I194" i="10"/>
  <c r="H194" i="10"/>
  <c r="G194" i="10"/>
  <c r="I193" i="10"/>
  <c r="H193" i="10"/>
  <c r="G193" i="10"/>
  <c r="I192" i="10"/>
  <c r="H192" i="10"/>
  <c r="G192" i="10"/>
  <c r="I191" i="10"/>
  <c r="H191" i="10"/>
  <c r="G191" i="10"/>
  <c r="I190" i="10"/>
  <c r="H190" i="10"/>
  <c r="G190" i="10"/>
  <c r="I189" i="10"/>
  <c r="H189" i="10"/>
  <c r="G189" i="10"/>
  <c r="I188" i="10"/>
  <c r="H188" i="10"/>
  <c r="G188" i="10"/>
  <c r="I187" i="10"/>
  <c r="H187" i="10"/>
  <c r="G187" i="10"/>
  <c r="I186" i="10"/>
  <c r="H186" i="10"/>
  <c r="G186" i="10"/>
  <c r="I185" i="10"/>
  <c r="H185" i="10"/>
  <c r="G185" i="10"/>
  <c r="I184" i="10"/>
  <c r="H184" i="10"/>
  <c r="G184" i="10"/>
  <c r="I183" i="10"/>
  <c r="H183" i="10"/>
  <c r="G183" i="10"/>
  <c r="I182" i="10"/>
  <c r="H182" i="10"/>
  <c r="G182" i="10"/>
  <c r="I181" i="10"/>
  <c r="H181" i="10"/>
  <c r="G181" i="10"/>
  <c r="I180" i="10"/>
  <c r="H180" i="10"/>
  <c r="G180" i="10"/>
  <c r="I179" i="10"/>
  <c r="H179" i="10"/>
  <c r="G179" i="10"/>
  <c r="I178" i="10"/>
  <c r="H178" i="10"/>
  <c r="G178" i="10"/>
  <c r="I177" i="10"/>
  <c r="H177" i="10"/>
  <c r="G177" i="10"/>
  <c r="I176" i="10"/>
  <c r="H176" i="10"/>
  <c r="G176" i="10"/>
  <c r="I175" i="10"/>
  <c r="H175" i="10"/>
  <c r="G175" i="10"/>
  <c r="I174" i="10"/>
  <c r="H174" i="10"/>
  <c r="G174" i="10"/>
  <c r="I173" i="10"/>
  <c r="H173" i="10"/>
  <c r="G173" i="10"/>
  <c r="I172" i="10"/>
  <c r="H172" i="10"/>
  <c r="G172" i="10"/>
  <c r="I171" i="10"/>
  <c r="H171" i="10"/>
  <c r="G171" i="10"/>
  <c r="I170" i="10"/>
  <c r="H170" i="10"/>
  <c r="G170" i="10"/>
  <c r="I169" i="10"/>
  <c r="H169" i="10"/>
  <c r="G169" i="10"/>
  <c r="I168" i="10"/>
  <c r="H168" i="10"/>
  <c r="G168" i="10"/>
  <c r="I167" i="10"/>
  <c r="H167" i="10"/>
  <c r="G167" i="10"/>
  <c r="I166" i="10"/>
  <c r="H166" i="10"/>
  <c r="G166" i="10"/>
  <c r="I165" i="10"/>
  <c r="H165" i="10"/>
  <c r="G165" i="10"/>
  <c r="I164" i="10"/>
  <c r="H164" i="10"/>
  <c r="G164" i="10"/>
  <c r="I163" i="10"/>
  <c r="H163" i="10"/>
  <c r="G163" i="10"/>
  <c r="I162" i="10"/>
  <c r="H162" i="10"/>
  <c r="G162" i="10"/>
  <c r="I161" i="10"/>
  <c r="H161" i="10"/>
  <c r="G161" i="10"/>
  <c r="I160" i="10"/>
  <c r="H160" i="10"/>
  <c r="G160" i="10"/>
  <c r="I159" i="10"/>
  <c r="H159" i="10"/>
  <c r="G159" i="10"/>
  <c r="I158" i="10"/>
  <c r="H158" i="10"/>
  <c r="G158" i="10"/>
  <c r="I157" i="10"/>
  <c r="H157" i="10"/>
  <c r="G157" i="10"/>
  <c r="I156" i="10"/>
  <c r="H156" i="10"/>
  <c r="G156" i="10"/>
  <c r="I155" i="10"/>
  <c r="H155" i="10"/>
  <c r="G155" i="10"/>
  <c r="I154" i="10"/>
  <c r="H154" i="10"/>
  <c r="G154" i="10"/>
  <c r="I153" i="10"/>
  <c r="H153" i="10"/>
  <c r="G153" i="10"/>
  <c r="I152" i="10"/>
  <c r="H152" i="10"/>
  <c r="G152" i="10"/>
  <c r="I151" i="10"/>
  <c r="H151" i="10"/>
  <c r="G151" i="10"/>
  <c r="I150" i="10"/>
  <c r="H150" i="10"/>
  <c r="G150" i="10"/>
  <c r="I149" i="10"/>
  <c r="H149" i="10"/>
  <c r="G149" i="10"/>
  <c r="I148" i="10"/>
  <c r="H148" i="10"/>
  <c r="G148" i="10"/>
  <c r="I147" i="10"/>
  <c r="H147" i="10"/>
  <c r="G147" i="10"/>
  <c r="I146" i="10"/>
  <c r="H146" i="10"/>
  <c r="G146" i="10"/>
  <c r="I145" i="10"/>
  <c r="H145" i="10"/>
  <c r="G145" i="10"/>
  <c r="I144" i="10"/>
  <c r="H144" i="10"/>
  <c r="G144" i="10"/>
  <c r="I143" i="10"/>
  <c r="H143" i="10"/>
  <c r="G143" i="10"/>
  <c r="I142" i="10"/>
  <c r="H142" i="10"/>
  <c r="G142" i="10"/>
  <c r="I141" i="10"/>
  <c r="H141" i="10"/>
  <c r="G141" i="10"/>
  <c r="I140" i="10"/>
  <c r="H140" i="10"/>
  <c r="G140" i="10"/>
  <c r="I139" i="10"/>
  <c r="H139" i="10"/>
  <c r="G139" i="10"/>
  <c r="I138" i="10"/>
  <c r="H138" i="10"/>
  <c r="G138" i="10"/>
  <c r="I137" i="10"/>
  <c r="H137" i="10"/>
  <c r="G137" i="10"/>
  <c r="I136" i="10"/>
  <c r="H136" i="10"/>
  <c r="G136" i="10"/>
  <c r="I135" i="10"/>
  <c r="H135" i="10"/>
  <c r="G135" i="10"/>
  <c r="I134" i="10"/>
  <c r="H134" i="10"/>
  <c r="G134" i="10"/>
  <c r="I133" i="10"/>
  <c r="H133" i="10"/>
  <c r="G133" i="10"/>
  <c r="I132" i="10"/>
  <c r="H132" i="10"/>
  <c r="G132" i="10"/>
  <c r="I131" i="10"/>
  <c r="H131" i="10"/>
  <c r="G131" i="10"/>
  <c r="I130" i="10"/>
  <c r="H130" i="10"/>
  <c r="G130" i="10"/>
  <c r="I129" i="10"/>
  <c r="H129" i="10"/>
  <c r="G129" i="10"/>
  <c r="I128" i="10"/>
  <c r="H128" i="10"/>
  <c r="G128" i="10"/>
  <c r="I127" i="10"/>
  <c r="H127" i="10"/>
  <c r="G127" i="10"/>
  <c r="I126" i="10"/>
  <c r="H126" i="10"/>
  <c r="G126" i="10"/>
  <c r="I125" i="10"/>
  <c r="H125" i="10"/>
  <c r="G125" i="10"/>
  <c r="I124" i="10"/>
  <c r="H124" i="10"/>
  <c r="G124" i="10"/>
  <c r="I123" i="10"/>
  <c r="H123" i="10"/>
  <c r="G123" i="10"/>
  <c r="I122" i="10"/>
  <c r="H122" i="10"/>
  <c r="G122" i="10"/>
  <c r="I121" i="10"/>
  <c r="H121" i="10"/>
  <c r="G121" i="10"/>
  <c r="I120" i="10"/>
  <c r="H120" i="10"/>
  <c r="G120" i="10"/>
  <c r="I119" i="10"/>
  <c r="H119" i="10"/>
  <c r="G119" i="10"/>
  <c r="I118" i="10"/>
  <c r="H118" i="10"/>
  <c r="G118" i="10"/>
  <c r="I117" i="10"/>
  <c r="H117" i="10"/>
  <c r="G117" i="10"/>
  <c r="I116" i="10"/>
  <c r="H116" i="10"/>
  <c r="G116" i="10"/>
  <c r="I115" i="10"/>
  <c r="H115" i="10"/>
  <c r="G115" i="10"/>
  <c r="I114" i="10"/>
  <c r="H114" i="10"/>
  <c r="G114" i="10"/>
  <c r="I113" i="10"/>
  <c r="H113" i="10"/>
  <c r="G113" i="10"/>
  <c r="I112" i="10"/>
  <c r="H112" i="10"/>
  <c r="G112" i="10"/>
  <c r="I111" i="10"/>
  <c r="H111" i="10"/>
  <c r="H315" i="10" s="1"/>
  <c r="G111" i="10"/>
  <c r="I110" i="10"/>
  <c r="H110" i="10"/>
  <c r="G110" i="10"/>
  <c r="I109" i="10"/>
  <c r="H109" i="10"/>
  <c r="G109" i="10"/>
  <c r="I108" i="10"/>
  <c r="H108" i="10"/>
  <c r="G108" i="10"/>
  <c r="I107" i="10"/>
  <c r="H107" i="10"/>
  <c r="G107" i="10"/>
  <c r="I106" i="10"/>
  <c r="H106" i="10"/>
  <c r="G106" i="10"/>
  <c r="I105" i="10"/>
  <c r="H105" i="10"/>
  <c r="G105" i="10"/>
  <c r="I104" i="10"/>
  <c r="H104" i="10"/>
  <c r="G104" i="10"/>
  <c r="I103" i="10"/>
  <c r="H103" i="10"/>
  <c r="G103" i="10"/>
  <c r="I102" i="10"/>
  <c r="H102" i="10"/>
  <c r="G102" i="10"/>
  <c r="I101" i="10"/>
  <c r="H101" i="10"/>
  <c r="G101" i="10"/>
  <c r="I100" i="10"/>
  <c r="H100" i="10"/>
  <c r="G100" i="10"/>
  <c r="I99" i="10"/>
  <c r="H99" i="10"/>
  <c r="G99" i="10"/>
  <c r="I98" i="10"/>
  <c r="H98" i="10"/>
  <c r="G98" i="10"/>
  <c r="I97" i="10"/>
  <c r="H97" i="10"/>
  <c r="G97" i="10"/>
  <c r="I96" i="10"/>
  <c r="H96" i="10"/>
  <c r="G96" i="10"/>
  <c r="I95" i="10"/>
  <c r="H95" i="10"/>
  <c r="G95" i="10"/>
  <c r="I94" i="10"/>
  <c r="H94" i="10"/>
  <c r="G94" i="10"/>
  <c r="I93" i="10"/>
  <c r="H93" i="10"/>
  <c r="G93" i="10"/>
  <c r="I92" i="10"/>
  <c r="H92" i="10"/>
  <c r="G92" i="10"/>
  <c r="I91" i="10"/>
  <c r="H91" i="10"/>
  <c r="G91" i="10"/>
  <c r="I90" i="10"/>
  <c r="H90" i="10"/>
  <c r="G90" i="10"/>
  <c r="I89" i="10"/>
  <c r="H89" i="10"/>
  <c r="G89" i="10"/>
  <c r="I88" i="10"/>
  <c r="H88" i="10"/>
  <c r="G88" i="10"/>
  <c r="I87" i="10"/>
  <c r="H87" i="10"/>
  <c r="G87" i="10"/>
  <c r="I86" i="10"/>
  <c r="H86" i="10"/>
  <c r="G86" i="10"/>
  <c r="I85" i="10"/>
  <c r="H85" i="10"/>
  <c r="G85" i="10"/>
  <c r="I84" i="10"/>
  <c r="H84" i="10"/>
  <c r="G84" i="10"/>
  <c r="I83" i="10"/>
  <c r="H83" i="10"/>
  <c r="G83" i="10"/>
  <c r="I82" i="10"/>
  <c r="H82" i="10"/>
  <c r="G82" i="10"/>
  <c r="I81" i="10"/>
  <c r="H81" i="10"/>
  <c r="G81" i="10"/>
  <c r="I80" i="10"/>
  <c r="H80" i="10"/>
  <c r="G80" i="10"/>
  <c r="I79" i="10"/>
  <c r="H79" i="10"/>
  <c r="G79" i="10"/>
  <c r="I78" i="10"/>
  <c r="H78" i="10"/>
  <c r="G78" i="10"/>
  <c r="I77" i="10"/>
  <c r="H77" i="10"/>
  <c r="G77" i="10"/>
  <c r="I76" i="10"/>
  <c r="H76" i="10"/>
  <c r="G76" i="10"/>
  <c r="I75" i="10"/>
  <c r="H75" i="10"/>
  <c r="G75" i="10"/>
  <c r="I74" i="10"/>
  <c r="H74" i="10"/>
  <c r="G74" i="10"/>
  <c r="I73" i="10"/>
  <c r="H73" i="10"/>
  <c r="G73" i="10"/>
  <c r="I72" i="10"/>
  <c r="H72" i="10"/>
  <c r="G72" i="10"/>
  <c r="I71" i="10"/>
  <c r="H71" i="10"/>
  <c r="G71" i="10"/>
  <c r="I70" i="10"/>
  <c r="H70" i="10"/>
  <c r="G70" i="10"/>
  <c r="I69" i="10"/>
  <c r="H69" i="10"/>
  <c r="G69" i="10"/>
  <c r="I68" i="10"/>
  <c r="H68" i="10"/>
  <c r="G68" i="10"/>
  <c r="I67" i="10"/>
  <c r="H67" i="10"/>
  <c r="G67" i="10"/>
  <c r="I66" i="10"/>
  <c r="H66" i="10"/>
  <c r="G66" i="10"/>
  <c r="I65" i="10"/>
  <c r="H65" i="10"/>
  <c r="G65" i="10"/>
  <c r="I64" i="10"/>
  <c r="H64" i="10"/>
  <c r="G64" i="10"/>
  <c r="I63" i="10"/>
  <c r="H63" i="10"/>
  <c r="G63" i="10"/>
  <c r="I62" i="10"/>
  <c r="H62" i="10"/>
  <c r="G62" i="10"/>
  <c r="I61" i="10"/>
  <c r="H61" i="10"/>
  <c r="G61" i="10"/>
  <c r="I60" i="10"/>
  <c r="H60" i="10"/>
  <c r="G60" i="10"/>
  <c r="I59" i="10"/>
  <c r="H59" i="10"/>
  <c r="G59" i="10"/>
  <c r="I58" i="10"/>
  <c r="H58" i="10"/>
  <c r="G58" i="10"/>
  <c r="I57" i="10"/>
  <c r="H57" i="10"/>
  <c r="G57" i="10"/>
  <c r="I56" i="10"/>
  <c r="H56" i="10"/>
  <c r="G56" i="10"/>
  <c r="I55" i="10"/>
  <c r="H55" i="10"/>
  <c r="G55" i="10"/>
  <c r="I54" i="10"/>
  <c r="H54" i="10"/>
  <c r="G54" i="10"/>
  <c r="I53" i="10"/>
  <c r="H53" i="10"/>
  <c r="G53" i="10"/>
  <c r="I52" i="10"/>
  <c r="H52" i="10"/>
  <c r="G52" i="10"/>
  <c r="I51" i="10"/>
  <c r="H51" i="10"/>
  <c r="G51" i="10"/>
  <c r="I50" i="10"/>
  <c r="H50" i="10"/>
  <c r="G50" i="10"/>
  <c r="I49" i="10"/>
  <c r="H49" i="10"/>
  <c r="G49" i="10"/>
  <c r="I48" i="10"/>
  <c r="H48" i="10"/>
  <c r="G48" i="10"/>
  <c r="I47" i="10"/>
  <c r="H47" i="10"/>
  <c r="G47" i="10"/>
  <c r="I46" i="10"/>
  <c r="H46" i="10"/>
  <c r="G46" i="10"/>
  <c r="I45" i="10"/>
  <c r="H45" i="10"/>
  <c r="G45" i="10"/>
  <c r="I44" i="10"/>
  <c r="H44" i="10"/>
  <c r="G44" i="10"/>
  <c r="I43" i="10"/>
  <c r="H43" i="10"/>
  <c r="G43" i="10"/>
  <c r="I42" i="10"/>
  <c r="H42" i="10"/>
  <c r="G42" i="10"/>
  <c r="I41" i="10"/>
  <c r="H41" i="10"/>
  <c r="G41" i="10"/>
  <c r="I40" i="10"/>
  <c r="H40" i="10"/>
  <c r="G40" i="10"/>
  <c r="I39" i="10"/>
  <c r="H39" i="10"/>
  <c r="G39" i="10"/>
  <c r="I38" i="10"/>
  <c r="H38" i="10"/>
  <c r="G38" i="10"/>
  <c r="I37" i="10"/>
  <c r="H37" i="10"/>
  <c r="G37" i="10"/>
  <c r="I36" i="10"/>
  <c r="H36" i="10"/>
  <c r="G36" i="10"/>
  <c r="I35" i="10"/>
  <c r="H35" i="10"/>
  <c r="G35" i="10"/>
  <c r="I34" i="10"/>
  <c r="H34" i="10"/>
  <c r="G34" i="10"/>
  <c r="I33" i="10"/>
  <c r="H33" i="10"/>
  <c r="G33" i="10"/>
  <c r="I32" i="10"/>
  <c r="H32" i="10"/>
  <c r="G32" i="10"/>
  <c r="I31" i="10"/>
  <c r="H31" i="10"/>
  <c r="G31" i="10"/>
  <c r="I30" i="10"/>
  <c r="H30" i="10"/>
  <c r="G30" i="10"/>
  <c r="I29" i="10"/>
  <c r="H29" i="10"/>
  <c r="G29" i="10"/>
  <c r="I28" i="10"/>
  <c r="H28" i="10"/>
  <c r="G28" i="10"/>
  <c r="I27" i="10"/>
  <c r="H27" i="10"/>
  <c r="G27" i="10"/>
  <c r="I26" i="10"/>
  <c r="H26" i="10"/>
  <c r="G26" i="10"/>
  <c r="I25" i="10"/>
  <c r="H25" i="10"/>
  <c r="G25" i="10"/>
  <c r="I24" i="10"/>
  <c r="H24" i="10"/>
  <c r="G24" i="10"/>
  <c r="I23" i="10"/>
  <c r="H23" i="10"/>
  <c r="G23" i="10"/>
  <c r="I22" i="10"/>
  <c r="H22" i="10"/>
  <c r="G22" i="10"/>
  <c r="I21" i="10"/>
  <c r="H21" i="10"/>
  <c r="G21" i="10"/>
  <c r="I20" i="10"/>
  <c r="H20" i="10"/>
  <c r="G20" i="10"/>
  <c r="I19" i="10"/>
  <c r="H19" i="10"/>
  <c r="G19" i="10"/>
  <c r="I18" i="10"/>
  <c r="H18" i="10"/>
  <c r="G18" i="10"/>
  <c r="I17" i="10"/>
  <c r="H17" i="10"/>
  <c r="G17" i="10"/>
  <c r="I16" i="10"/>
  <c r="H16" i="10"/>
  <c r="G16" i="10"/>
  <c r="I15" i="10"/>
  <c r="H15" i="10"/>
  <c r="G15" i="10"/>
  <c r="I14" i="10"/>
  <c r="H14" i="10"/>
  <c r="G14" i="10"/>
  <c r="I13" i="10"/>
  <c r="H13" i="10"/>
  <c r="G13" i="10"/>
  <c r="I12" i="10"/>
  <c r="H12" i="10"/>
  <c r="G12" i="10"/>
  <c r="I11" i="10"/>
  <c r="H11" i="10"/>
  <c r="G11" i="10"/>
  <c r="I10" i="10"/>
  <c r="H10" i="10"/>
  <c r="G10" i="10"/>
  <c r="I9" i="10"/>
  <c r="H9" i="10"/>
  <c r="G9" i="10"/>
  <c r="I8" i="10"/>
  <c r="H8" i="10"/>
  <c r="G8" i="10"/>
  <c r="C255" i="9"/>
  <c r="C257" i="9" s="1"/>
  <c r="C258" i="9" s="1"/>
  <c r="H253" i="9"/>
  <c r="G253" i="9"/>
  <c r="F253" i="9"/>
  <c r="E253" i="9"/>
  <c r="D253" i="9"/>
  <c r="C253" i="9"/>
  <c r="H252" i="9"/>
  <c r="G252" i="9"/>
  <c r="F252" i="9"/>
  <c r="E252" i="9"/>
  <c r="D252" i="9"/>
  <c r="C252" i="9"/>
  <c r="H251" i="9"/>
  <c r="G251" i="9"/>
  <c r="F251" i="9"/>
  <c r="E251" i="9"/>
  <c r="D251" i="9"/>
  <c r="C251" i="9"/>
  <c r="H250" i="9"/>
  <c r="G250" i="9"/>
  <c r="F250" i="9"/>
  <c r="E250" i="9"/>
  <c r="D250" i="9"/>
  <c r="C250" i="9"/>
  <c r="H249" i="9"/>
  <c r="G249" i="9"/>
  <c r="F249" i="9"/>
  <c r="E249" i="9"/>
  <c r="D249" i="9"/>
  <c r="C249" i="9"/>
  <c r="H248" i="9"/>
  <c r="G248" i="9"/>
  <c r="F248" i="9"/>
  <c r="E248" i="9"/>
  <c r="D248" i="9"/>
  <c r="C248" i="9"/>
  <c r="H247" i="9"/>
  <c r="G247" i="9"/>
  <c r="F247" i="9"/>
  <c r="E247" i="9"/>
  <c r="D247" i="9"/>
  <c r="C247" i="9"/>
  <c r="H246" i="9"/>
  <c r="G246" i="9"/>
  <c r="F246" i="9"/>
  <c r="E246" i="9"/>
  <c r="D246" i="9"/>
  <c r="C246" i="9"/>
  <c r="H245" i="9"/>
  <c r="G245" i="9"/>
  <c r="F245" i="9"/>
  <c r="E245" i="9"/>
  <c r="D245" i="9"/>
  <c r="C245" i="9"/>
  <c r="H244" i="9"/>
  <c r="G244" i="9"/>
  <c r="F244" i="9"/>
  <c r="E244" i="9"/>
  <c r="D244" i="9"/>
  <c r="C244" i="9"/>
  <c r="H243" i="9"/>
  <c r="G243" i="9"/>
  <c r="F243" i="9"/>
  <c r="E243" i="9"/>
  <c r="D243" i="9"/>
  <c r="C243" i="9"/>
  <c r="H242" i="9"/>
  <c r="G242" i="9"/>
  <c r="F242" i="9"/>
  <c r="E242" i="9"/>
  <c r="D242" i="9"/>
  <c r="C242" i="9"/>
  <c r="H241" i="9"/>
  <c r="G241" i="9"/>
  <c r="F241" i="9"/>
  <c r="E241" i="9"/>
  <c r="D241" i="9"/>
  <c r="C241" i="9"/>
  <c r="H240" i="9"/>
  <c r="G240" i="9"/>
  <c r="F240" i="9"/>
  <c r="E240" i="9"/>
  <c r="D240" i="9"/>
  <c r="C240" i="9"/>
  <c r="H239" i="9"/>
  <c r="G239" i="9"/>
  <c r="F239" i="9"/>
  <c r="E239" i="9"/>
  <c r="D239" i="9"/>
  <c r="C239" i="9"/>
  <c r="H238" i="9"/>
  <c r="G238" i="9"/>
  <c r="F238" i="9"/>
  <c r="E238" i="9"/>
  <c r="D238" i="9"/>
  <c r="C238" i="9"/>
  <c r="H237" i="9"/>
  <c r="G237" i="9"/>
  <c r="F237" i="9"/>
  <c r="E237" i="9"/>
  <c r="D237" i="9"/>
  <c r="C237" i="9"/>
  <c r="H236" i="9"/>
  <c r="G236" i="9"/>
  <c r="F236" i="9"/>
  <c r="E236" i="9"/>
  <c r="D236" i="9"/>
  <c r="C236" i="9"/>
  <c r="H235" i="9"/>
  <c r="G235" i="9"/>
  <c r="F235" i="9"/>
  <c r="E235" i="9"/>
  <c r="D235" i="9"/>
  <c r="C235" i="9"/>
  <c r="H234" i="9"/>
  <c r="G234" i="9"/>
  <c r="F234" i="9"/>
  <c r="E234" i="9"/>
  <c r="D234" i="9"/>
  <c r="C234" i="9"/>
  <c r="C209" i="9"/>
  <c r="C211" i="9" s="1"/>
  <c r="C212" i="9" s="1"/>
  <c r="G207" i="9"/>
  <c r="F207" i="9"/>
  <c r="B207" i="9"/>
  <c r="G206" i="9"/>
  <c r="F206" i="9"/>
  <c r="B206" i="9"/>
  <c r="G205" i="9"/>
  <c r="F205" i="9"/>
  <c r="B205" i="9"/>
  <c r="G204" i="9"/>
  <c r="F204" i="9"/>
  <c r="B204" i="9"/>
  <c r="G203" i="9"/>
  <c r="F203" i="9"/>
  <c r="B203" i="9"/>
  <c r="G202" i="9"/>
  <c r="F202" i="9"/>
  <c r="B202" i="9"/>
  <c r="G201" i="9"/>
  <c r="F201" i="9"/>
  <c r="B201" i="9"/>
  <c r="G200" i="9"/>
  <c r="F200" i="9"/>
  <c r="B200" i="9"/>
  <c r="G199" i="9"/>
  <c r="F199" i="9"/>
  <c r="B199" i="9"/>
  <c r="G198" i="9"/>
  <c r="F198" i="9"/>
  <c r="B198" i="9"/>
  <c r="G197" i="9"/>
  <c r="F197" i="9"/>
  <c r="B197" i="9"/>
  <c r="G196" i="9"/>
  <c r="F196" i="9"/>
  <c r="B196" i="9"/>
  <c r="G195" i="9"/>
  <c r="F195" i="9"/>
  <c r="B195" i="9"/>
  <c r="G194" i="9"/>
  <c r="F194" i="9"/>
  <c r="B194" i="9"/>
  <c r="G193" i="9"/>
  <c r="F193" i="9"/>
  <c r="B193" i="9"/>
  <c r="G192" i="9"/>
  <c r="F192" i="9"/>
  <c r="B192" i="9"/>
  <c r="G191" i="9"/>
  <c r="F191" i="9"/>
  <c r="B191" i="9"/>
  <c r="G190" i="9"/>
  <c r="F190" i="9"/>
  <c r="B190" i="9"/>
  <c r="G189" i="9"/>
  <c r="F189" i="9"/>
  <c r="B189" i="9"/>
  <c r="G188" i="9"/>
  <c r="F188" i="9"/>
  <c r="B188" i="9"/>
  <c r="G187" i="9"/>
  <c r="F187" i="9"/>
  <c r="B187" i="9"/>
  <c r="G186" i="9"/>
  <c r="F186" i="9"/>
  <c r="B186" i="9"/>
  <c r="G185" i="9"/>
  <c r="F185" i="9"/>
  <c r="B185" i="9"/>
  <c r="G184" i="9"/>
  <c r="F184" i="9"/>
  <c r="B184" i="9"/>
  <c r="G183" i="9"/>
  <c r="F183" i="9"/>
  <c r="B183" i="9"/>
  <c r="G182" i="9"/>
  <c r="F182" i="9"/>
  <c r="B182" i="9"/>
  <c r="G181" i="9"/>
  <c r="F181" i="9"/>
  <c r="B181" i="9"/>
  <c r="G180" i="9"/>
  <c r="F180" i="9"/>
  <c r="B180" i="9"/>
  <c r="G179" i="9"/>
  <c r="F179" i="9"/>
  <c r="B179" i="9"/>
  <c r="G178" i="9"/>
  <c r="F178" i="9"/>
  <c r="B178" i="9"/>
  <c r="G177" i="9"/>
  <c r="F177" i="9"/>
  <c r="B177" i="9"/>
  <c r="G176" i="9"/>
  <c r="F176" i="9"/>
  <c r="B176" i="9"/>
  <c r="G175" i="9"/>
  <c r="F175" i="9"/>
  <c r="B175" i="9"/>
  <c r="G174" i="9"/>
  <c r="F174" i="9"/>
  <c r="B174" i="9"/>
  <c r="G173" i="9"/>
  <c r="F173" i="9"/>
  <c r="B173" i="9"/>
  <c r="G172" i="9"/>
  <c r="F172" i="9"/>
  <c r="B172" i="9"/>
  <c r="G171" i="9"/>
  <c r="F171" i="9"/>
  <c r="B171" i="9"/>
  <c r="G170" i="9"/>
  <c r="F170" i="9"/>
  <c r="B170" i="9"/>
  <c r="G169" i="9"/>
  <c r="F169" i="9"/>
  <c r="B169" i="9"/>
  <c r="G168" i="9"/>
  <c r="F168" i="9"/>
  <c r="B168" i="9"/>
  <c r="G167" i="9"/>
  <c r="F167" i="9"/>
  <c r="B167" i="9"/>
  <c r="G166" i="9"/>
  <c r="F166" i="9"/>
  <c r="B166" i="9"/>
  <c r="G165" i="9"/>
  <c r="F165" i="9"/>
  <c r="B165" i="9"/>
  <c r="G164" i="9"/>
  <c r="F164" i="9"/>
  <c r="B164" i="9"/>
  <c r="G163" i="9"/>
  <c r="F163" i="9"/>
  <c r="B163" i="9"/>
  <c r="G162" i="9"/>
  <c r="F162" i="9"/>
  <c r="B162" i="9"/>
  <c r="G161" i="9"/>
  <c r="F161" i="9"/>
  <c r="B161" i="9"/>
  <c r="G160" i="9"/>
  <c r="F160" i="9"/>
  <c r="B160" i="9"/>
  <c r="G159" i="9"/>
  <c r="F159" i="9"/>
  <c r="B159" i="9"/>
  <c r="G158" i="9"/>
  <c r="F158" i="9"/>
  <c r="B158" i="9"/>
  <c r="G157" i="9"/>
  <c r="F157" i="9"/>
  <c r="B157" i="9"/>
  <c r="G156" i="9"/>
  <c r="F156" i="9"/>
  <c r="B156" i="9"/>
  <c r="G155" i="9"/>
  <c r="F155" i="9"/>
  <c r="B155" i="9"/>
  <c r="G154" i="9"/>
  <c r="F154" i="9"/>
  <c r="B154" i="9"/>
  <c r="G153" i="9"/>
  <c r="F153" i="9"/>
  <c r="B153" i="9"/>
  <c r="G152" i="9"/>
  <c r="F152" i="9"/>
  <c r="B152" i="9"/>
  <c r="G151" i="9"/>
  <c r="F151" i="9"/>
  <c r="B151" i="9"/>
  <c r="G150" i="9"/>
  <c r="F150" i="9"/>
  <c r="B150" i="9"/>
  <c r="G149" i="9"/>
  <c r="F149" i="9"/>
  <c r="B149" i="9"/>
  <c r="G148" i="9"/>
  <c r="F148" i="9"/>
  <c r="B148" i="9"/>
  <c r="G147" i="9"/>
  <c r="F147" i="9"/>
  <c r="B147" i="9"/>
  <c r="G146" i="9"/>
  <c r="F146" i="9"/>
  <c r="B146" i="9"/>
  <c r="G145" i="9"/>
  <c r="F145" i="9"/>
  <c r="B145" i="9"/>
  <c r="G144" i="9"/>
  <c r="F144" i="9"/>
  <c r="B144" i="9"/>
  <c r="G143" i="9"/>
  <c r="F143" i="9"/>
  <c r="B143" i="9"/>
  <c r="G142" i="9"/>
  <c r="F142" i="9"/>
  <c r="B142" i="9"/>
  <c r="G141" i="9"/>
  <c r="F141" i="9"/>
  <c r="B141" i="9"/>
  <c r="G140" i="9"/>
  <c r="F140" i="9"/>
  <c r="B140" i="9"/>
  <c r="G139" i="9"/>
  <c r="F139" i="9"/>
  <c r="B139" i="9"/>
  <c r="G138" i="9"/>
  <c r="F138" i="9"/>
  <c r="B138" i="9"/>
  <c r="G137" i="9"/>
  <c r="F137" i="9"/>
  <c r="B137" i="9"/>
  <c r="G136" i="9"/>
  <c r="F136" i="9"/>
  <c r="B136" i="9"/>
  <c r="G135" i="9"/>
  <c r="F135" i="9"/>
  <c r="B135" i="9"/>
  <c r="G134" i="9"/>
  <c r="F134" i="9"/>
  <c r="B134" i="9"/>
  <c r="G133" i="9"/>
  <c r="F133" i="9"/>
  <c r="B133" i="9"/>
  <c r="G132" i="9"/>
  <c r="F132" i="9"/>
  <c r="B132" i="9"/>
  <c r="G131" i="9"/>
  <c r="F131" i="9"/>
  <c r="B131" i="9"/>
  <c r="G130" i="9"/>
  <c r="F130" i="9"/>
  <c r="B130" i="9"/>
  <c r="G129" i="9"/>
  <c r="F129" i="9"/>
  <c r="B129" i="9"/>
  <c r="G128" i="9"/>
  <c r="F128" i="9"/>
  <c r="B128" i="9"/>
  <c r="G127" i="9"/>
  <c r="F127" i="9"/>
  <c r="B127" i="9"/>
  <c r="G126" i="9"/>
  <c r="F126" i="9"/>
  <c r="B126" i="9"/>
  <c r="G125" i="9"/>
  <c r="F125" i="9"/>
  <c r="B125" i="9"/>
  <c r="G124" i="9"/>
  <c r="F124" i="9"/>
  <c r="B124" i="9"/>
  <c r="G123" i="9"/>
  <c r="F123" i="9"/>
  <c r="B123" i="9"/>
  <c r="G122" i="9"/>
  <c r="F122" i="9"/>
  <c r="B122" i="9"/>
  <c r="G121" i="9"/>
  <c r="F121" i="9"/>
  <c r="B121" i="9"/>
  <c r="G120" i="9"/>
  <c r="F120" i="9"/>
  <c r="B120" i="9"/>
  <c r="G119" i="9"/>
  <c r="F119" i="9"/>
  <c r="B119" i="9"/>
  <c r="G118" i="9"/>
  <c r="F118" i="9"/>
  <c r="B118" i="9"/>
  <c r="G117" i="9"/>
  <c r="F117" i="9"/>
  <c r="B117" i="9"/>
  <c r="G116" i="9"/>
  <c r="F116" i="9"/>
  <c r="B116" i="9"/>
  <c r="G115" i="9"/>
  <c r="F115" i="9"/>
  <c r="B115" i="9"/>
  <c r="G114" i="9"/>
  <c r="F114" i="9"/>
  <c r="B114" i="9"/>
  <c r="G113" i="9"/>
  <c r="F113" i="9"/>
  <c r="B113" i="9"/>
  <c r="G112" i="9"/>
  <c r="F112" i="9"/>
  <c r="B112" i="9"/>
  <c r="G111" i="9"/>
  <c r="F111" i="9"/>
  <c r="B111" i="9"/>
  <c r="G110" i="9"/>
  <c r="F110" i="9"/>
  <c r="B110" i="9"/>
  <c r="G109" i="9"/>
  <c r="F109" i="9"/>
  <c r="B109" i="9"/>
  <c r="G108" i="9"/>
  <c r="F108" i="9"/>
  <c r="B108" i="9"/>
  <c r="G107" i="9"/>
  <c r="F107" i="9"/>
  <c r="B107" i="9"/>
  <c r="G106" i="9"/>
  <c r="F106" i="9"/>
  <c r="B106" i="9"/>
  <c r="G105" i="9"/>
  <c r="F105" i="9"/>
  <c r="B105" i="9"/>
  <c r="G104" i="9"/>
  <c r="F104" i="9"/>
  <c r="B104" i="9"/>
  <c r="G103" i="9"/>
  <c r="F103" i="9"/>
  <c r="B103" i="9"/>
  <c r="G102" i="9"/>
  <c r="F102" i="9"/>
  <c r="B102" i="9"/>
  <c r="G101" i="9"/>
  <c r="F101" i="9"/>
  <c r="B101" i="9"/>
  <c r="G100" i="9"/>
  <c r="F100" i="9"/>
  <c r="B100" i="9"/>
  <c r="G99" i="9"/>
  <c r="F99" i="9"/>
  <c r="B99" i="9"/>
  <c r="G98" i="9"/>
  <c r="F98" i="9"/>
  <c r="B98" i="9"/>
  <c r="G97" i="9"/>
  <c r="F97" i="9"/>
  <c r="B97" i="9"/>
  <c r="G96" i="9"/>
  <c r="F96" i="9"/>
  <c r="B96" i="9"/>
  <c r="G95" i="9"/>
  <c r="F95" i="9"/>
  <c r="B95" i="9"/>
  <c r="G94" i="9"/>
  <c r="F94" i="9"/>
  <c r="B94" i="9"/>
  <c r="G93" i="9"/>
  <c r="F93" i="9"/>
  <c r="B93" i="9"/>
  <c r="G92" i="9"/>
  <c r="F92" i="9"/>
  <c r="B92" i="9"/>
  <c r="G91" i="9"/>
  <c r="F91" i="9"/>
  <c r="B91" i="9"/>
  <c r="G90" i="9"/>
  <c r="F90" i="9"/>
  <c r="B90" i="9"/>
  <c r="G89" i="9"/>
  <c r="F89" i="9"/>
  <c r="B89" i="9"/>
  <c r="G88" i="9"/>
  <c r="F88" i="9"/>
  <c r="B88" i="9"/>
  <c r="G87" i="9"/>
  <c r="F87" i="9"/>
  <c r="B87" i="9"/>
  <c r="G86" i="9"/>
  <c r="F86" i="9"/>
  <c r="B86" i="9"/>
  <c r="G85" i="9"/>
  <c r="F85" i="9"/>
  <c r="B85" i="9"/>
  <c r="G84" i="9"/>
  <c r="F84" i="9"/>
  <c r="B84" i="9"/>
  <c r="G83" i="9"/>
  <c r="F83" i="9"/>
  <c r="B83" i="9"/>
  <c r="G82" i="9"/>
  <c r="F82" i="9"/>
  <c r="B82" i="9"/>
  <c r="G81" i="9"/>
  <c r="F81" i="9"/>
  <c r="B81" i="9"/>
  <c r="G80" i="9"/>
  <c r="F80" i="9"/>
  <c r="B80" i="9"/>
  <c r="G79" i="9"/>
  <c r="F79" i="9"/>
  <c r="B79" i="9"/>
  <c r="G78" i="9"/>
  <c r="F78" i="9"/>
  <c r="B78" i="9"/>
  <c r="G77" i="9"/>
  <c r="F77" i="9"/>
  <c r="B77" i="9"/>
  <c r="G76" i="9"/>
  <c r="F76" i="9"/>
  <c r="B76" i="9"/>
  <c r="G75" i="9"/>
  <c r="F75" i="9"/>
  <c r="B75" i="9"/>
  <c r="G74" i="9"/>
  <c r="F74" i="9"/>
  <c r="B74" i="9"/>
  <c r="G73" i="9"/>
  <c r="F73" i="9"/>
  <c r="B73" i="9"/>
  <c r="G72" i="9"/>
  <c r="F72" i="9"/>
  <c r="B72" i="9"/>
  <c r="G71" i="9"/>
  <c r="F71" i="9"/>
  <c r="B71" i="9"/>
  <c r="G70" i="9"/>
  <c r="F70" i="9"/>
  <c r="B70" i="9"/>
  <c r="G69" i="9"/>
  <c r="F69" i="9"/>
  <c r="B69" i="9"/>
  <c r="G68" i="9"/>
  <c r="F68" i="9"/>
  <c r="B68" i="9"/>
  <c r="G67" i="9"/>
  <c r="F67" i="9"/>
  <c r="B67" i="9"/>
  <c r="G66" i="9"/>
  <c r="F66" i="9"/>
  <c r="B66" i="9"/>
  <c r="G65" i="9"/>
  <c r="F65" i="9"/>
  <c r="B65" i="9"/>
  <c r="G64" i="9"/>
  <c r="F64" i="9"/>
  <c r="B64" i="9"/>
  <c r="G63" i="9"/>
  <c r="F63" i="9"/>
  <c r="B63" i="9"/>
  <c r="G62" i="9"/>
  <c r="F62" i="9"/>
  <c r="B62" i="9"/>
  <c r="G61" i="9"/>
  <c r="F61" i="9"/>
  <c r="B61" i="9"/>
  <c r="G60" i="9"/>
  <c r="F60" i="9"/>
  <c r="B60" i="9"/>
  <c r="G59" i="9"/>
  <c r="F59" i="9"/>
  <c r="B59" i="9"/>
  <c r="G58" i="9"/>
  <c r="F58" i="9"/>
  <c r="B58" i="9"/>
  <c r="G57" i="9"/>
  <c r="F57" i="9"/>
  <c r="B57" i="9"/>
  <c r="G56" i="9"/>
  <c r="F56" i="9"/>
  <c r="B56" i="9"/>
  <c r="G55" i="9"/>
  <c r="F55" i="9"/>
  <c r="B55" i="9"/>
  <c r="G54" i="9"/>
  <c r="F54" i="9"/>
  <c r="B54" i="9"/>
  <c r="G53" i="9"/>
  <c r="F53" i="9"/>
  <c r="B53" i="9"/>
  <c r="G52" i="9"/>
  <c r="F52" i="9"/>
  <c r="B52" i="9"/>
  <c r="G51" i="9"/>
  <c r="F51" i="9"/>
  <c r="B51" i="9"/>
  <c r="G50" i="9"/>
  <c r="F50" i="9"/>
  <c r="B50" i="9"/>
  <c r="G49" i="9"/>
  <c r="F49" i="9"/>
  <c r="B49" i="9"/>
  <c r="G48" i="9"/>
  <c r="F48" i="9"/>
  <c r="B48" i="9"/>
  <c r="G47" i="9"/>
  <c r="F47" i="9"/>
  <c r="B47" i="9"/>
  <c r="G46" i="9"/>
  <c r="F46" i="9"/>
  <c r="B46" i="9"/>
  <c r="G45" i="9"/>
  <c r="F45" i="9"/>
  <c r="B45" i="9"/>
  <c r="G44" i="9"/>
  <c r="F44" i="9"/>
  <c r="B44" i="9"/>
  <c r="G43" i="9"/>
  <c r="F43" i="9"/>
  <c r="B43" i="9"/>
  <c r="G42" i="9"/>
  <c r="F42" i="9"/>
  <c r="B42" i="9"/>
  <c r="G41" i="9"/>
  <c r="F41" i="9"/>
  <c r="B41" i="9"/>
  <c r="G40" i="9"/>
  <c r="F40" i="9"/>
  <c r="B40" i="9"/>
  <c r="G39" i="9"/>
  <c r="F39" i="9"/>
  <c r="B39" i="9"/>
  <c r="G38" i="9"/>
  <c r="F38" i="9"/>
  <c r="B38" i="9"/>
  <c r="G37" i="9"/>
  <c r="F37" i="9"/>
  <c r="B37" i="9"/>
  <c r="G36" i="9"/>
  <c r="F36" i="9"/>
  <c r="B36" i="9"/>
  <c r="G35" i="9"/>
  <c r="F35" i="9"/>
  <c r="B35" i="9"/>
  <c r="G34" i="9"/>
  <c r="F34" i="9"/>
  <c r="B34" i="9"/>
  <c r="G33" i="9"/>
  <c r="F33" i="9"/>
  <c r="B33" i="9"/>
  <c r="G32" i="9"/>
  <c r="F32" i="9"/>
  <c r="B32" i="9"/>
  <c r="G31" i="9"/>
  <c r="F31" i="9"/>
  <c r="B31" i="9"/>
  <c r="G30" i="9"/>
  <c r="F30" i="9"/>
  <c r="B30" i="9"/>
  <c r="G29" i="9"/>
  <c r="F29" i="9"/>
  <c r="B29" i="9"/>
  <c r="G28" i="9"/>
  <c r="F28" i="9"/>
  <c r="B28" i="9"/>
  <c r="G27" i="9"/>
  <c r="F27" i="9"/>
  <c r="B27" i="9"/>
  <c r="G26" i="9"/>
  <c r="F26" i="9"/>
  <c r="B26" i="9"/>
  <c r="G25" i="9"/>
  <c r="F25" i="9"/>
  <c r="B25" i="9"/>
  <c r="G24" i="9"/>
  <c r="F24" i="9"/>
  <c r="B24" i="9"/>
  <c r="G23" i="9"/>
  <c r="F23" i="9"/>
  <c r="B23" i="9"/>
  <c r="G22" i="9"/>
  <c r="F22" i="9"/>
  <c r="B22" i="9"/>
  <c r="G21" i="9"/>
  <c r="F21" i="9"/>
  <c r="B21" i="9"/>
  <c r="G20" i="9"/>
  <c r="F20" i="9"/>
  <c r="B20" i="9"/>
  <c r="G19" i="9"/>
  <c r="F19" i="9"/>
  <c r="B19" i="9"/>
  <c r="G18" i="9"/>
  <c r="F18" i="9"/>
  <c r="B18" i="9"/>
  <c r="G17" i="9"/>
  <c r="F17" i="9"/>
  <c r="B17" i="9"/>
  <c r="G16" i="9"/>
  <c r="F16" i="9"/>
  <c r="B16" i="9"/>
  <c r="G15" i="9"/>
  <c r="F15" i="9"/>
  <c r="B15" i="9"/>
  <c r="G14" i="9"/>
  <c r="F14" i="9"/>
  <c r="B14" i="9"/>
  <c r="G13" i="9"/>
  <c r="F13" i="9"/>
  <c r="B13" i="9"/>
  <c r="G12" i="9"/>
  <c r="F12" i="9"/>
  <c r="B12" i="9"/>
  <c r="G11" i="9"/>
  <c r="F11" i="9"/>
  <c r="B11" i="9"/>
  <c r="G10" i="9"/>
  <c r="F10" i="9"/>
  <c r="B10" i="9"/>
  <c r="G9" i="9"/>
  <c r="F9" i="9"/>
  <c r="B9" i="9"/>
  <c r="G8" i="9"/>
  <c r="F8" i="9"/>
  <c r="B8" i="9"/>
  <c r="C110" i="8"/>
  <c r="C112" i="8" s="1"/>
  <c r="C113" i="8" s="1"/>
  <c r="B108" i="8"/>
  <c r="J108" i="8" s="1"/>
  <c r="B107" i="8"/>
  <c r="J107" i="8" s="1"/>
  <c r="B106" i="8"/>
  <c r="J106" i="8" s="1"/>
  <c r="B105" i="8"/>
  <c r="J105" i="8" s="1"/>
  <c r="B104" i="8"/>
  <c r="J104" i="8" s="1"/>
  <c r="B103" i="8"/>
  <c r="J103" i="8" s="1"/>
  <c r="B102" i="8"/>
  <c r="J102" i="8" s="1"/>
  <c r="B101" i="8"/>
  <c r="J101" i="8" s="1"/>
  <c r="B100" i="8"/>
  <c r="J100" i="8" s="1"/>
  <c r="B99" i="8"/>
  <c r="J99" i="8" s="1"/>
  <c r="B98" i="8"/>
  <c r="J98" i="8" s="1"/>
  <c r="B97" i="8"/>
  <c r="J97" i="8" s="1"/>
  <c r="B96" i="8"/>
  <c r="J96" i="8" s="1"/>
  <c r="B95" i="8"/>
  <c r="J95" i="8" s="1"/>
  <c r="B94" i="8"/>
  <c r="J94" i="8" s="1"/>
  <c r="B93" i="8"/>
  <c r="J93" i="8" s="1"/>
  <c r="B92" i="8"/>
  <c r="J92" i="8" s="1"/>
  <c r="B91" i="8"/>
  <c r="J91" i="8" s="1"/>
  <c r="B90" i="8"/>
  <c r="J90" i="8" s="1"/>
  <c r="B89" i="8"/>
  <c r="J89" i="8" s="1"/>
  <c r="B88" i="8"/>
  <c r="J88" i="8" s="1"/>
  <c r="B87" i="8"/>
  <c r="J87" i="8" s="1"/>
  <c r="B86" i="8"/>
  <c r="J86" i="8" s="1"/>
  <c r="B85" i="8"/>
  <c r="J85" i="8" s="1"/>
  <c r="B84" i="8"/>
  <c r="J84" i="8" s="1"/>
  <c r="B83" i="8"/>
  <c r="J83" i="8" s="1"/>
  <c r="B82" i="8"/>
  <c r="J82" i="8" s="1"/>
  <c r="B81" i="8"/>
  <c r="J81" i="8" s="1"/>
  <c r="B80" i="8"/>
  <c r="J80" i="8" s="1"/>
  <c r="B79" i="8"/>
  <c r="J79" i="8" s="1"/>
  <c r="B78" i="8"/>
  <c r="J78" i="8" s="1"/>
  <c r="B77" i="8"/>
  <c r="J77" i="8" s="1"/>
  <c r="B76" i="8"/>
  <c r="J76" i="8" s="1"/>
  <c r="B75" i="8"/>
  <c r="J75" i="8" s="1"/>
  <c r="B74" i="8"/>
  <c r="J74" i="8" s="1"/>
  <c r="B73" i="8"/>
  <c r="J73" i="8" s="1"/>
  <c r="B72" i="8"/>
  <c r="J72" i="8" s="1"/>
  <c r="B71" i="8"/>
  <c r="J71" i="8" s="1"/>
  <c r="B70" i="8"/>
  <c r="J70" i="8" s="1"/>
  <c r="B69" i="8"/>
  <c r="J69" i="8" s="1"/>
  <c r="B68" i="8"/>
  <c r="J68" i="8" s="1"/>
  <c r="B67" i="8"/>
  <c r="J67" i="8" s="1"/>
  <c r="B66" i="8"/>
  <c r="J66" i="8" s="1"/>
  <c r="B65" i="8"/>
  <c r="J65" i="8" s="1"/>
  <c r="B64" i="8"/>
  <c r="J64" i="8" s="1"/>
  <c r="B63" i="8"/>
  <c r="J63" i="8" s="1"/>
  <c r="B62" i="8"/>
  <c r="J62" i="8" s="1"/>
  <c r="B61" i="8"/>
  <c r="J61" i="8" s="1"/>
  <c r="B60" i="8"/>
  <c r="J60" i="8" s="1"/>
  <c r="B59" i="8"/>
  <c r="J59" i="8" s="1"/>
  <c r="B58" i="8"/>
  <c r="J58" i="8" s="1"/>
  <c r="B57" i="8"/>
  <c r="J57" i="8" s="1"/>
  <c r="B56" i="8"/>
  <c r="J56" i="8" s="1"/>
  <c r="B55" i="8"/>
  <c r="J55" i="8" s="1"/>
  <c r="B54" i="8"/>
  <c r="J54" i="8" s="1"/>
  <c r="B53" i="8"/>
  <c r="J53" i="8" s="1"/>
  <c r="B52" i="8"/>
  <c r="J52" i="8" s="1"/>
  <c r="B51" i="8"/>
  <c r="J51" i="8" s="1"/>
  <c r="B50" i="8"/>
  <c r="J50" i="8" s="1"/>
  <c r="B49" i="8"/>
  <c r="J49" i="8" s="1"/>
  <c r="B48" i="8"/>
  <c r="J48" i="8" s="1"/>
  <c r="B47" i="8"/>
  <c r="J47" i="8" s="1"/>
  <c r="B46" i="8"/>
  <c r="J46" i="8" s="1"/>
  <c r="B45" i="8"/>
  <c r="J45" i="8" s="1"/>
  <c r="B44" i="8"/>
  <c r="J44" i="8" s="1"/>
  <c r="B43" i="8"/>
  <c r="J43" i="8" s="1"/>
  <c r="B42" i="8"/>
  <c r="J42" i="8" s="1"/>
  <c r="B41" i="8"/>
  <c r="J41" i="8" s="1"/>
  <c r="B40" i="8"/>
  <c r="J40" i="8" s="1"/>
  <c r="B39" i="8"/>
  <c r="J39" i="8" s="1"/>
  <c r="B38" i="8"/>
  <c r="J38" i="8" s="1"/>
  <c r="B37" i="8"/>
  <c r="J37" i="8" s="1"/>
  <c r="B36" i="8"/>
  <c r="J36" i="8" s="1"/>
  <c r="B35" i="8"/>
  <c r="J35" i="8" s="1"/>
  <c r="B34" i="8"/>
  <c r="J34" i="8" s="1"/>
  <c r="B33" i="8"/>
  <c r="J33" i="8" s="1"/>
  <c r="B32" i="8"/>
  <c r="J32" i="8" s="1"/>
  <c r="B31" i="8"/>
  <c r="J31" i="8" s="1"/>
  <c r="B30" i="8"/>
  <c r="J30" i="8" s="1"/>
  <c r="B29" i="8"/>
  <c r="J29" i="8" s="1"/>
  <c r="B28" i="8"/>
  <c r="J28" i="8" s="1"/>
  <c r="B27" i="8"/>
  <c r="J27" i="8" s="1"/>
  <c r="B26" i="8"/>
  <c r="J26" i="8" s="1"/>
  <c r="B25" i="8"/>
  <c r="J25" i="8" s="1"/>
  <c r="B24" i="8"/>
  <c r="J24" i="8" s="1"/>
  <c r="B23" i="8"/>
  <c r="J23" i="8" s="1"/>
  <c r="B22" i="8"/>
  <c r="J22" i="8" s="1"/>
  <c r="B21" i="8"/>
  <c r="J21" i="8" s="1"/>
  <c r="B20" i="8"/>
  <c r="J20" i="8" s="1"/>
  <c r="B19" i="8"/>
  <c r="J19" i="8" s="1"/>
  <c r="B18" i="8"/>
  <c r="J18" i="8" s="1"/>
  <c r="B17" i="8"/>
  <c r="J17" i="8" s="1"/>
  <c r="B16" i="8"/>
  <c r="J16" i="8" s="1"/>
  <c r="B15" i="8"/>
  <c r="J15" i="8" s="1"/>
  <c r="B14" i="8"/>
  <c r="J14" i="8" s="1"/>
  <c r="B13" i="8"/>
  <c r="J13" i="8" s="1"/>
  <c r="B12" i="8"/>
  <c r="J12" i="8" s="1"/>
  <c r="B11" i="8"/>
  <c r="J11" i="8" s="1"/>
  <c r="B10" i="8"/>
  <c r="J10" i="8" s="1"/>
  <c r="B9" i="8"/>
  <c r="J9" i="8" s="1"/>
  <c r="O115" i="7"/>
  <c r="N115" i="7"/>
  <c r="G115" i="7"/>
  <c r="F115" i="7"/>
  <c r="E115" i="7"/>
  <c r="C109" i="7"/>
  <c r="C111" i="7" s="1"/>
  <c r="C112" i="7" s="1"/>
  <c r="K107" i="7"/>
  <c r="B107" i="7"/>
  <c r="K106" i="7"/>
  <c r="B106" i="7"/>
  <c r="K105" i="7"/>
  <c r="B105" i="7"/>
  <c r="K104" i="7"/>
  <c r="B104" i="7"/>
  <c r="K103" i="7"/>
  <c r="B103" i="7"/>
  <c r="K102" i="7"/>
  <c r="B102" i="7"/>
  <c r="K101" i="7"/>
  <c r="B101" i="7"/>
  <c r="K100" i="7"/>
  <c r="B100" i="7"/>
  <c r="K99" i="7"/>
  <c r="B99" i="7"/>
  <c r="K98" i="7"/>
  <c r="B98" i="7"/>
  <c r="K97" i="7"/>
  <c r="B97" i="7"/>
  <c r="K96" i="7"/>
  <c r="B96" i="7"/>
  <c r="K95" i="7"/>
  <c r="B95" i="7"/>
  <c r="K94" i="7"/>
  <c r="B94" i="7"/>
  <c r="K93" i="7"/>
  <c r="B93" i="7"/>
  <c r="K92" i="7"/>
  <c r="B92" i="7"/>
  <c r="K91" i="7"/>
  <c r="B91" i="7"/>
  <c r="K90" i="7"/>
  <c r="B90" i="7"/>
  <c r="K89" i="7"/>
  <c r="B89" i="7"/>
  <c r="K88" i="7"/>
  <c r="B88" i="7"/>
  <c r="K87" i="7"/>
  <c r="B87" i="7"/>
  <c r="K86" i="7"/>
  <c r="B86" i="7"/>
  <c r="K85" i="7"/>
  <c r="B85" i="7"/>
  <c r="K84" i="7"/>
  <c r="B84" i="7"/>
  <c r="K83" i="7"/>
  <c r="B83" i="7"/>
  <c r="K82" i="7"/>
  <c r="B82" i="7"/>
  <c r="K81" i="7"/>
  <c r="B81" i="7"/>
  <c r="K80" i="7"/>
  <c r="B80" i="7"/>
  <c r="K79" i="7"/>
  <c r="B79" i="7"/>
  <c r="K78" i="7"/>
  <c r="B78" i="7"/>
  <c r="K77" i="7"/>
  <c r="B77" i="7"/>
  <c r="K76" i="7"/>
  <c r="B76" i="7"/>
  <c r="K75" i="7"/>
  <c r="B75" i="7"/>
  <c r="K74" i="7"/>
  <c r="B74" i="7"/>
  <c r="K73" i="7"/>
  <c r="B73" i="7"/>
  <c r="K72" i="7"/>
  <c r="B72" i="7"/>
  <c r="K71" i="7"/>
  <c r="B71" i="7"/>
  <c r="K70" i="7"/>
  <c r="B70" i="7"/>
  <c r="K69" i="7"/>
  <c r="B69" i="7"/>
  <c r="K68" i="7"/>
  <c r="B68" i="7"/>
  <c r="K67" i="7"/>
  <c r="B67" i="7"/>
  <c r="K66" i="7"/>
  <c r="B66" i="7"/>
  <c r="K65" i="7"/>
  <c r="B65" i="7"/>
  <c r="K64" i="7"/>
  <c r="B64" i="7"/>
  <c r="K63" i="7"/>
  <c r="B63" i="7"/>
  <c r="K62" i="7"/>
  <c r="B62" i="7"/>
  <c r="K61" i="7"/>
  <c r="B61" i="7"/>
  <c r="K60" i="7"/>
  <c r="B60" i="7"/>
  <c r="K59" i="7"/>
  <c r="B59" i="7"/>
  <c r="K58" i="7"/>
  <c r="B58" i="7"/>
  <c r="K57" i="7"/>
  <c r="B57" i="7"/>
  <c r="K56" i="7"/>
  <c r="B56" i="7"/>
  <c r="K55" i="7"/>
  <c r="B55" i="7"/>
  <c r="K54" i="7"/>
  <c r="B54" i="7"/>
  <c r="K53" i="7"/>
  <c r="B53" i="7"/>
  <c r="K52" i="7"/>
  <c r="B52" i="7"/>
  <c r="K51" i="7"/>
  <c r="B51" i="7"/>
  <c r="K50" i="7"/>
  <c r="B50" i="7"/>
  <c r="K49" i="7"/>
  <c r="B49" i="7"/>
  <c r="K48" i="7"/>
  <c r="B48" i="7"/>
  <c r="K47" i="7"/>
  <c r="B47" i="7"/>
  <c r="K46" i="7"/>
  <c r="B46" i="7"/>
  <c r="K45" i="7"/>
  <c r="B45" i="7"/>
  <c r="K44" i="7"/>
  <c r="B44" i="7"/>
  <c r="K43" i="7"/>
  <c r="B43" i="7"/>
  <c r="K42" i="7"/>
  <c r="B42" i="7"/>
  <c r="O41" i="7"/>
  <c r="K41" i="7"/>
  <c r="B41" i="7"/>
  <c r="K40" i="7"/>
  <c r="B40" i="7"/>
  <c r="K39" i="7"/>
  <c r="B39" i="7"/>
  <c r="K38" i="7"/>
  <c r="B38" i="7"/>
  <c r="K37" i="7"/>
  <c r="B37" i="7"/>
  <c r="K36" i="7"/>
  <c r="B36" i="7"/>
  <c r="K35" i="7"/>
  <c r="B35" i="7"/>
  <c r="K34" i="7"/>
  <c r="B34" i="7"/>
  <c r="K33" i="7"/>
  <c r="B33" i="7"/>
  <c r="K32" i="7"/>
  <c r="B32" i="7"/>
  <c r="K31" i="7"/>
  <c r="B31" i="7"/>
  <c r="K30" i="7"/>
  <c r="B30" i="7"/>
  <c r="K29" i="7"/>
  <c r="B29" i="7"/>
  <c r="K28" i="7"/>
  <c r="B28" i="7"/>
  <c r="K27" i="7"/>
  <c r="B27" i="7"/>
  <c r="K26" i="7"/>
  <c r="B26" i="7"/>
  <c r="K25" i="7"/>
  <c r="B25" i="7"/>
  <c r="K24" i="7"/>
  <c r="B24" i="7"/>
  <c r="K23" i="7"/>
  <c r="B23" i="7"/>
  <c r="K22" i="7"/>
  <c r="B22" i="7"/>
  <c r="K21" i="7"/>
  <c r="B21" i="7"/>
  <c r="K20" i="7"/>
  <c r="B20" i="7"/>
  <c r="K19" i="7"/>
  <c r="B19" i="7"/>
  <c r="K18" i="7"/>
  <c r="B18" i="7"/>
  <c r="K17" i="7"/>
  <c r="B17" i="7"/>
  <c r="K16" i="7"/>
  <c r="B16" i="7"/>
  <c r="K15" i="7"/>
  <c r="B15" i="7"/>
  <c r="K14" i="7"/>
  <c r="B14" i="7"/>
  <c r="K13" i="7"/>
  <c r="B13" i="7"/>
  <c r="K12" i="7"/>
  <c r="B12" i="7"/>
  <c r="K11" i="7"/>
  <c r="B11" i="7"/>
  <c r="K10" i="7"/>
  <c r="B10" i="7"/>
  <c r="K9" i="7"/>
  <c r="B9" i="7"/>
  <c r="K8" i="7"/>
  <c r="B8" i="7"/>
  <c r="C1007" i="6"/>
  <c r="C1009" i="6" s="1"/>
  <c r="C1010" i="6" s="1"/>
  <c r="Q1005" i="6"/>
  <c r="J1005" i="6"/>
  <c r="K1005" i="6" s="1"/>
  <c r="H1005" i="6"/>
  <c r="G1005" i="6"/>
  <c r="A1005" i="6"/>
  <c r="Q1004" i="6"/>
  <c r="J1004" i="6"/>
  <c r="K1004" i="6" s="1"/>
  <c r="H1004" i="6"/>
  <c r="G1004" i="6"/>
  <c r="A1004" i="6"/>
  <c r="Q1003" i="6"/>
  <c r="J1003" i="6"/>
  <c r="K1003" i="6" s="1"/>
  <c r="H1003" i="6"/>
  <c r="G1003" i="6"/>
  <c r="A1003" i="6"/>
  <c r="Q1002" i="6"/>
  <c r="J1002" i="6"/>
  <c r="K1002" i="6" s="1"/>
  <c r="H1002" i="6"/>
  <c r="G1002" i="6"/>
  <c r="A1002" i="6"/>
  <c r="Q1001" i="6"/>
  <c r="J1001" i="6"/>
  <c r="K1001" i="6" s="1"/>
  <c r="H1001" i="6"/>
  <c r="G1001" i="6"/>
  <c r="A1001" i="6"/>
  <c r="Q1000" i="6"/>
  <c r="J1000" i="6"/>
  <c r="K1000" i="6" s="1"/>
  <c r="H1000" i="6"/>
  <c r="G1000" i="6"/>
  <c r="A1000" i="6"/>
  <c r="Q999" i="6"/>
  <c r="J999" i="6"/>
  <c r="K999" i="6" s="1"/>
  <c r="H999" i="6"/>
  <c r="G999" i="6"/>
  <c r="A999" i="6"/>
  <c r="Q998" i="6"/>
  <c r="J998" i="6"/>
  <c r="K998" i="6" s="1"/>
  <c r="H998" i="6"/>
  <c r="G998" i="6"/>
  <c r="A998" i="6"/>
  <c r="Q997" i="6"/>
  <c r="J997" i="6"/>
  <c r="K997" i="6" s="1"/>
  <c r="H997" i="6"/>
  <c r="G997" i="6"/>
  <c r="A997" i="6"/>
  <c r="Q996" i="6"/>
  <c r="J996" i="6"/>
  <c r="K996" i="6" s="1"/>
  <c r="H996" i="6"/>
  <c r="G996" i="6"/>
  <c r="A996" i="6"/>
  <c r="Q995" i="6"/>
  <c r="J995" i="6"/>
  <c r="K995" i="6" s="1"/>
  <c r="H995" i="6"/>
  <c r="G995" i="6"/>
  <c r="A995" i="6"/>
  <c r="Q994" i="6"/>
  <c r="J994" i="6"/>
  <c r="K994" i="6" s="1"/>
  <c r="H994" i="6"/>
  <c r="G994" i="6"/>
  <c r="A994" i="6"/>
  <c r="Q993" i="6"/>
  <c r="J993" i="6"/>
  <c r="K993" i="6" s="1"/>
  <c r="H993" i="6"/>
  <c r="G993" i="6"/>
  <c r="A993" i="6"/>
  <c r="Q992" i="6"/>
  <c r="J992" i="6"/>
  <c r="K992" i="6" s="1"/>
  <c r="H992" i="6"/>
  <c r="G992" i="6"/>
  <c r="A992" i="6"/>
  <c r="Q991" i="6"/>
  <c r="J991" i="6"/>
  <c r="K991" i="6" s="1"/>
  <c r="H991" i="6"/>
  <c r="G991" i="6"/>
  <c r="A991" i="6"/>
  <c r="Q990" i="6"/>
  <c r="J990" i="6"/>
  <c r="K990" i="6" s="1"/>
  <c r="H990" i="6"/>
  <c r="G990" i="6"/>
  <c r="A990" i="6"/>
  <c r="Q989" i="6"/>
  <c r="J989" i="6"/>
  <c r="K989" i="6" s="1"/>
  <c r="H989" i="6"/>
  <c r="G989" i="6"/>
  <c r="A989" i="6"/>
  <c r="Q988" i="6"/>
  <c r="J988" i="6"/>
  <c r="K988" i="6" s="1"/>
  <c r="H988" i="6"/>
  <c r="G988" i="6"/>
  <c r="A988" i="6"/>
  <c r="Q987" i="6"/>
  <c r="J987" i="6"/>
  <c r="K987" i="6" s="1"/>
  <c r="H987" i="6"/>
  <c r="G987" i="6"/>
  <c r="A987" i="6"/>
  <c r="Q986" i="6"/>
  <c r="J986" i="6"/>
  <c r="K986" i="6" s="1"/>
  <c r="H986" i="6"/>
  <c r="G986" i="6"/>
  <c r="A986" i="6"/>
  <c r="Q985" i="6"/>
  <c r="J985" i="6"/>
  <c r="K985" i="6" s="1"/>
  <c r="H985" i="6"/>
  <c r="G985" i="6"/>
  <c r="A985" i="6"/>
  <c r="Q984" i="6"/>
  <c r="J984" i="6"/>
  <c r="K984" i="6" s="1"/>
  <c r="H984" i="6"/>
  <c r="G984" i="6"/>
  <c r="A984" i="6"/>
  <c r="Q983" i="6"/>
  <c r="J983" i="6"/>
  <c r="K983" i="6" s="1"/>
  <c r="H983" i="6"/>
  <c r="G983" i="6"/>
  <c r="A983" i="6"/>
  <c r="Q982" i="6"/>
  <c r="J982" i="6"/>
  <c r="K982" i="6" s="1"/>
  <c r="H982" i="6"/>
  <c r="G982" i="6"/>
  <c r="A982" i="6"/>
  <c r="Q981" i="6"/>
  <c r="J981" i="6"/>
  <c r="K981" i="6" s="1"/>
  <c r="H981" i="6"/>
  <c r="G981" i="6"/>
  <c r="A981" i="6"/>
  <c r="Q980" i="6"/>
  <c r="J980" i="6"/>
  <c r="K980" i="6" s="1"/>
  <c r="H980" i="6"/>
  <c r="G980" i="6"/>
  <c r="A980" i="6"/>
  <c r="Q979" i="6"/>
  <c r="J979" i="6"/>
  <c r="K979" i="6" s="1"/>
  <c r="H979" i="6"/>
  <c r="G979" i="6"/>
  <c r="A979" i="6"/>
  <c r="Q978" i="6"/>
  <c r="J978" i="6"/>
  <c r="K978" i="6" s="1"/>
  <c r="H978" i="6"/>
  <c r="G978" i="6"/>
  <c r="A978" i="6"/>
  <c r="Q977" i="6"/>
  <c r="J977" i="6"/>
  <c r="K977" i="6" s="1"/>
  <c r="H977" i="6"/>
  <c r="G977" i="6"/>
  <c r="A977" i="6"/>
  <c r="Q976" i="6"/>
  <c r="J976" i="6"/>
  <c r="K976" i="6" s="1"/>
  <c r="H976" i="6"/>
  <c r="G976" i="6"/>
  <c r="A976" i="6"/>
  <c r="Q975" i="6"/>
  <c r="J975" i="6"/>
  <c r="K975" i="6" s="1"/>
  <c r="H975" i="6"/>
  <c r="G975" i="6"/>
  <c r="A975" i="6"/>
  <c r="Q974" i="6"/>
  <c r="J974" i="6"/>
  <c r="K974" i="6" s="1"/>
  <c r="H974" i="6"/>
  <c r="G974" i="6"/>
  <c r="A974" i="6"/>
  <c r="Q973" i="6"/>
  <c r="J973" i="6"/>
  <c r="K973" i="6" s="1"/>
  <c r="H973" i="6"/>
  <c r="G973" i="6"/>
  <c r="A973" i="6"/>
  <c r="Q972" i="6"/>
  <c r="J972" i="6"/>
  <c r="K972" i="6" s="1"/>
  <c r="H972" i="6"/>
  <c r="G972" i="6"/>
  <c r="A972" i="6"/>
  <c r="Q971" i="6"/>
  <c r="J971" i="6"/>
  <c r="K971" i="6" s="1"/>
  <c r="H971" i="6"/>
  <c r="G971" i="6"/>
  <c r="A971" i="6"/>
  <c r="Q970" i="6"/>
  <c r="J970" i="6"/>
  <c r="K970" i="6" s="1"/>
  <c r="H970" i="6"/>
  <c r="G970" i="6"/>
  <c r="A970" i="6"/>
  <c r="Q969" i="6"/>
  <c r="J969" i="6"/>
  <c r="K969" i="6" s="1"/>
  <c r="H969" i="6"/>
  <c r="G969" i="6"/>
  <c r="A969" i="6"/>
  <c r="Q968" i="6"/>
  <c r="J968" i="6"/>
  <c r="K968" i="6" s="1"/>
  <c r="H968" i="6"/>
  <c r="G968" i="6"/>
  <c r="A968" i="6"/>
  <c r="Q967" i="6"/>
  <c r="J967" i="6"/>
  <c r="K967" i="6" s="1"/>
  <c r="H967" i="6"/>
  <c r="G967" i="6"/>
  <c r="A967" i="6"/>
  <c r="Q966" i="6"/>
  <c r="J966" i="6"/>
  <c r="K966" i="6" s="1"/>
  <c r="H966" i="6"/>
  <c r="G966" i="6"/>
  <c r="A966" i="6"/>
  <c r="Q965" i="6"/>
  <c r="J965" i="6"/>
  <c r="K965" i="6" s="1"/>
  <c r="H965" i="6"/>
  <c r="G965" i="6"/>
  <c r="A965" i="6"/>
  <c r="Q964" i="6"/>
  <c r="J964" i="6"/>
  <c r="K964" i="6" s="1"/>
  <c r="H964" i="6"/>
  <c r="G964" i="6"/>
  <c r="A964" i="6"/>
  <c r="Q963" i="6"/>
  <c r="J963" i="6"/>
  <c r="K963" i="6" s="1"/>
  <c r="H963" i="6"/>
  <c r="G963" i="6"/>
  <c r="A963" i="6"/>
  <c r="Q962" i="6"/>
  <c r="J962" i="6"/>
  <c r="K962" i="6" s="1"/>
  <c r="H962" i="6"/>
  <c r="G962" i="6"/>
  <c r="A962" i="6"/>
  <c r="Q961" i="6"/>
  <c r="J961" i="6"/>
  <c r="K961" i="6" s="1"/>
  <c r="H961" i="6"/>
  <c r="G961" i="6"/>
  <c r="A961" i="6"/>
  <c r="Q960" i="6"/>
  <c r="J960" i="6"/>
  <c r="K960" i="6" s="1"/>
  <c r="H960" i="6"/>
  <c r="G960" i="6"/>
  <c r="A960" i="6"/>
  <c r="Q959" i="6"/>
  <c r="J959" i="6"/>
  <c r="K959" i="6" s="1"/>
  <c r="H959" i="6"/>
  <c r="G959" i="6"/>
  <c r="A959" i="6"/>
  <c r="Q958" i="6"/>
  <c r="J958" i="6"/>
  <c r="K958" i="6" s="1"/>
  <c r="H958" i="6"/>
  <c r="G958" i="6"/>
  <c r="A958" i="6"/>
  <c r="Q957" i="6"/>
  <c r="J957" i="6"/>
  <c r="K957" i="6" s="1"/>
  <c r="H957" i="6"/>
  <c r="G957" i="6"/>
  <c r="A957" i="6"/>
  <c r="Q956" i="6"/>
  <c r="J956" i="6"/>
  <c r="K956" i="6" s="1"/>
  <c r="H956" i="6"/>
  <c r="G956" i="6"/>
  <c r="A956" i="6"/>
  <c r="Q955" i="6"/>
  <c r="J955" i="6"/>
  <c r="K955" i="6" s="1"/>
  <c r="H955" i="6"/>
  <c r="G955" i="6"/>
  <c r="A955" i="6"/>
  <c r="Q954" i="6"/>
  <c r="J954" i="6"/>
  <c r="K954" i="6" s="1"/>
  <c r="H954" i="6"/>
  <c r="G954" i="6"/>
  <c r="A954" i="6"/>
  <c r="Q953" i="6"/>
  <c r="J953" i="6"/>
  <c r="K953" i="6" s="1"/>
  <c r="H953" i="6"/>
  <c r="G953" i="6"/>
  <c r="A953" i="6"/>
  <c r="Q952" i="6"/>
  <c r="J952" i="6"/>
  <c r="K952" i="6" s="1"/>
  <c r="H952" i="6"/>
  <c r="G952" i="6"/>
  <c r="A952" i="6"/>
  <c r="Q951" i="6"/>
  <c r="J951" i="6"/>
  <c r="K951" i="6" s="1"/>
  <c r="H951" i="6"/>
  <c r="G951" i="6"/>
  <c r="A951" i="6"/>
  <c r="Q950" i="6"/>
  <c r="J950" i="6"/>
  <c r="K950" i="6" s="1"/>
  <c r="H950" i="6"/>
  <c r="G950" i="6"/>
  <c r="A950" i="6"/>
  <c r="Q949" i="6"/>
  <c r="J949" i="6"/>
  <c r="K949" i="6" s="1"/>
  <c r="H949" i="6"/>
  <c r="G949" i="6"/>
  <c r="A949" i="6"/>
  <c r="Q948" i="6"/>
  <c r="J948" i="6"/>
  <c r="K948" i="6" s="1"/>
  <c r="H948" i="6"/>
  <c r="G948" i="6"/>
  <c r="A948" i="6"/>
  <c r="Q947" i="6"/>
  <c r="J947" i="6"/>
  <c r="K947" i="6" s="1"/>
  <c r="H947" i="6"/>
  <c r="G947" i="6"/>
  <c r="A947" i="6"/>
  <c r="Q946" i="6"/>
  <c r="J946" i="6"/>
  <c r="K946" i="6" s="1"/>
  <c r="H946" i="6"/>
  <c r="G946" i="6"/>
  <c r="A946" i="6"/>
  <c r="Q945" i="6"/>
  <c r="J945" i="6"/>
  <c r="K945" i="6" s="1"/>
  <c r="H945" i="6"/>
  <c r="G945" i="6"/>
  <c r="A945" i="6"/>
  <c r="Q944" i="6"/>
  <c r="J944" i="6"/>
  <c r="K944" i="6" s="1"/>
  <c r="H944" i="6"/>
  <c r="G944" i="6"/>
  <c r="A944" i="6"/>
  <c r="Q943" i="6"/>
  <c r="J943" i="6"/>
  <c r="K943" i="6" s="1"/>
  <c r="H943" i="6"/>
  <c r="G943" i="6"/>
  <c r="A943" i="6"/>
  <c r="Q942" i="6"/>
  <c r="J942" i="6"/>
  <c r="K942" i="6" s="1"/>
  <c r="H942" i="6"/>
  <c r="G942" i="6"/>
  <c r="A942" i="6"/>
  <c r="Q941" i="6"/>
  <c r="J941" i="6"/>
  <c r="K941" i="6" s="1"/>
  <c r="H941" i="6"/>
  <c r="G941" i="6"/>
  <c r="A941" i="6"/>
  <c r="Q940" i="6"/>
  <c r="J940" i="6"/>
  <c r="K940" i="6" s="1"/>
  <c r="H940" i="6"/>
  <c r="G940" i="6"/>
  <c r="A940" i="6"/>
  <c r="Q939" i="6"/>
  <c r="J939" i="6"/>
  <c r="K939" i="6" s="1"/>
  <c r="H939" i="6"/>
  <c r="G939" i="6"/>
  <c r="A939" i="6"/>
  <c r="Q938" i="6"/>
  <c r="J938" i="6"/>
  <c r="K938" i="6" s="1"/>
  <c r="H938" i="6"/>
  <c r="G938" i="6"/>
  <c r="A938" i="6"/>
  <c r="Q937" i="6"/>
  <c r="J937" i="6"/>
  <c r="K937" i="6" s="1"/>
  <c r="H937" i="6"/>
  <c r="G937" i="6"/>
  <c r="A937" i="6"/>
  <c r="Q936" i="6"/>
  <c r="J936" i="6"/>
  <c r="K936" i="6" s="1"/>
  <c r="H936" i="6"/>
  <c r="G936" i="6"/>
  <c r="A936" i="6"/>
  <c r="Q935" i="6"/>
  <c r="J935" i="6"/>
  <c r="K935" i="6" s="1"/>
  <c r="H935" i="6"/>
  <c r="G935" i="6"/>
  <c r="A935" i="6"/>
  <c r="Q934" i="6"/>
  <c r="J934" i="6"/>
  <c r="K934" i="6" s="1"/>
  <c r="H934" i="6"/>
  <c r="G934" i="6"/>
  <c r="A934" i="6"/>
  <c r="Q933" i="6"/>
  <c r="J933" i="6"/>
  <c r="K933" i="6" s="1"/>
  <c r="H933" i="6"/>
  <c r="G933" i="6"/>
  <c r="A933" i="6"/>
  <c r="Q932" i="6"/>
  <c r="J932" i="6"/>
  <c r="K932" i="6" s="1"/>
  <c r="H932" i="6"/>
  <c r="G932" i="6"/>
  <c r="A932" i="6"/>
  <c r="Q931" i="6"/>
  <c r="J931" i="6"/>
  <c r="K931" i="6" s="1"/>
  <c r="H931" i="6"/>
  <c r="G931" i="6"/>
  <c r="A931" i="6"/>
  <c r="Q930" i="6"/>
  <c r="J930" i="6"/>
  <c r="K930" i="6" s="1"/>
  <c r="H930" i="6"/>
  <c r="G930" i="6"/>
  <c r="A930" i="6"/>
  <c r="Q929" i="6"/>
  <c r="J929" i="6"/>
  <c r="K929" i="6" s="1"/>
  <c r="H929" i="6"/>
  <c r="G929" i="6"/>
  <c r="A929" i="6"/>
  <c r="Q928" i="6"/>
  <c r="J928" i="6"/>
  <c r="K928" i="6" s="1"/>
  <c r="H928" i="6"/>
  <c r="G928" i="6"/>
  <c r="A928" i="6"/>
  <c r="Q927" i="6"/>
  <c r="J927" i="6"/>
  <c r="K927" i="6" s="1"/>
  <c r="H927" i="6"/>
  <c r="G927" i="6"/>
  <c r="A927" i="6"/>
  <c r="Q926" i="6"/>
  <c r="J926" i="6"/>
  <c r="K926" i="6" s="1"/>
  <c r="H926" i="6"/>
  <c r="G926" i="6"/>
  <c r="A926" i="6"/>
  <c r="Q925" i="6"/>
  <c r="J925" i="6"/>
  <c r="K925" i="6" s="1"/>
  <c r="H925" i="6"/>
  <c r="G925" i="6"/>
  <c r="A925" i="6"/>
  <c r="Q924" i="6"/>
  <c r="J924" i="6"/>
  <c r="K924" i="6" s="1"/>
  <c r="H924" i="6"/>
  <c r="G924" i="6"/>
  <c r="A924" i="6"/>
  <c r="Q923" i="6"/>
  <c r="J923" i="6"/>
  <c r="K923" i="6" s="1"/>
  <c r="H923" i="6"/>
  <c r="G923" i="6"/>
  <c r="A923" i="6"/>
  <c r="Q922" i="6"/>
  <c r="J922" i="6"/>
  <c r="K922" i="6" s="1"/>
  <c r="H922" i="6"/>
  <c r="G922" i="6"/>
  <c r="A922" i="6"/>
  <c r="Q921" i="6"/>
  <c r="J921" i="6"/>
  <c r="K921" i="6" s="1"/>
  <c r="H921" i="6"/>
  <c r="G921" i="6"/>
  <c r="A921" i="6"/>
  <c r="Q920" i="6"/>
  <c r="J920" i="6"/>
  <c r="K920" i="6" s="1"/>
  <c r="H920" i="6"/>
  <c r="G920" i="6"/>
  <c r="A920" i="6"/>
  <c r="Q919" i="6"/>
  <c r="J919" i="6"/>
  <c r="K919" i="6" s="1"/>
  <c r="H919" i="6"/>
  <c r="G919" i="6"/>
  <c r="A919" i="6"/>
  <c r="Q918" i="6"/>
  <c r="J918" i="6"/>
  <c r="K918" i="6" s="1"/>
  <c r="H918" i="6"/>
  <c r="G918" i="6"/>
  <c r="A918" i="6"/>
  <c r="Q917" i="6"/>
  <c r="J917" i="6"/>
  <c r="K917" i="6" s="1"/>
  <c r="H917" i="6"/>
  <c r="G917" i="6"/>
  <c r="A917" i="6"/>
  <c r="Q916" i="6"/>
  <c r="J916" i="6"/>
  <c r="K916" i="6" s="1"/>
  <c r="H916" i="6"/>
  <c r="G916" i="6"/>
  <c r="A916" i="6"/>
  <c r="Q915" i="6"/>
  <c r="J915" i="6"/>
  <c r="K915" i="6" s="1"/>
  <c r="H915" i="6"/>
  <c r="G915" i="6"/>
  <c r="A915" i="6"/>
  <c r="Q914" i="6"/>
  <c r="J914" i="6"/>
  <c r="K914" i="6" s="1"/>
  <c r="H914" i="6"/>
  <c r="G914" i="6"/>
  <c r="A914" i="6"/>
  <c r="Q913" i="6"/>
  <c r="J913" i="6"/>
  <c r="K913" i="6" s="1"/>
  <c r="H913" i="6"/>
  <c r="G913" i="6"/>
  <c r="A913" i="6"/>
  <c r="Q912" i="6"/>
  <c r="J912" i="6"/>
  <c r="K912" i="6" s="1"/>
  <c r="H912" i="6"/>
  <c r="G912" i="6"/>
  <c r="A912" i="6"/>
  <c r="Q911" i="6"/>
  <c r="J911" i="6"/>
  <c r="K911" i="6" s="1"/>
  <c r="H911" i="6"/>
  <c r="G911" i="6"/>
  <c r="A911" i="6"/>
  <c r="Q910" i="6"/>
  <c r="J910" i="6"/>
  <c r="K910" i="6" s="1"/>
  <c r="H910" i="6"/>
  <c r="G910" i="6"/>
  <c r="A910" i="6"/>
  <c r="Q909" i="6"/>
  <c r="J909" i="6"/>
  <c r="K909" i="6" s="1"/>
  <c r="H909" i="6"/>
  <c r="G909" i="6"/>
  <c r="A909" i="6"/>
  <c r="Q908" i="6"/>
  <c r="J908" i="6"/>
  <c r="K908" i="6" s="1"/>
  <c r="H908" i="6"/>
  <c r="G908" i="6"/>
  <c r="A908" i="6"/>
  <c r="Q907" i="6"/>
  <c r="J907" i="6"/>
  <c r="K907" i="6" s="1"/>
  <c r="H907" i="6"/>
  <c r="G907" i="6"/>
  <c r="A907" i="6"/>
  <c r="Q906" i="6"/>
  <c r="J906" i="6"/>
  <c r="K906" i="6" s="1"/>
  <c r="H906" i="6"/>
  <c r="G906" i="6"/>
  <c r="A906" i="6"/>
  <c r="Q905" i="6"/>
  <c r="J905" i="6"/>
  <c r="K905" i="6" s="1"/>
  <c r="H905" i="6"/>
  <c r="G905" i="6"/>
  <c r="A905" i="6"/>
  <c r="Q904" i="6"/>
  <c r="J904" i="6"/>
  <c r="K904" i="6" s="1"/>
  <c r="H904" i="6"/>
  <c r="G904" i="6"/>
  <c r="A904" i="6"/>
  <c r="Q903" i="6"/>
  <c r="J903" i="6"/>
  <c r="K903" i="6" s="1"/>
  <c r="H903" i="6"/>
  <c r="G903" i="6"/>
  <c r="A903" i="6"/>
  <c r="Q902" i="6"/>
  <c r="J902" i="6"/>
  <c r="K902" i="6" s="1"/>
  <c r="H902" i="6"/>
  <c r="G902" i="6"/>
  <c r="A902" i="6"/>
  <c r="Q901" i="6"/>
  <c r="J901" i="6"/>
  <c r="K901" i="6" s="1"/>
  <c r="H901" i="6"/>
  <c r="G901" i="6"/>
  <c r="A901" i="6"/>
  <c r="Q900" i="6"/>
  <c r="J900" i="6"/>
  <c r="K900" i="6" s="1"/>
  <c r="H900" i="6"/>
  <c r="G900" i="6"/>
  <c r="A900" i="6"/>
  <c r="Q899" i="6"/>
  <c r="J899" i="6"/>
  <c r="K899" i="6" s="1"/>
  <c r="H899" i="6"/>
  <c r="G899" i="6"/>
  <c r="A899" i="6"/>
  <c r="Q898" i="6"/>
  <c r="J898" i="6"/>
  <c r="K898" i="6" s="1"/>
  <c r="H898" i="6"/>
  <c r="G898" i="6"/>
  <c r="A898" i="6"/>
  <c r="Q897" i="6"/>
  <c r="J897" i="6"/>
  <c r="K897" i="6" s="1"/>
  <c r="H897" i="6"/>
  <c r="G897" i="6"/>
  <c r="A897" i="6"/>
  <c r="Q896" i="6"/>
  <c r="J896" i="6"/>
  <c r="K896" i="6" s="1"/>
  <c r="H896" i="6"/>
  <c r="G896" i="6"/>
  <c r="A896" i="6"/>
  <c r="Q895" i="6"/>
  <c r="J895" i="6"/>
  <c r="K895" i="6" s="1"/>
  <c r="H895" i="6"/>
  <c r="G895" i="6"/>
  <c r="A895" i="6"/>
  <c r="Q894" i="6"/>
  <c r="J894" i="6"/>
  <c r="K894" i="6" s="1"/>
  <c r="H894" i="6"/>
  <c r="G894" i="6"/>
  <c r="A894" i="6"/>
  <c r="Q893" i="6"/>
  <c r="J893" i="6"/>
  <c r="K893" i="6" s="1"/>
  <c r="H893" i="6"/>
  <c r="G893" i="6"/>
  <c r="A893" i="6"/>
  <c r="Q892" i="6"/>
  <c r="J892" i="6"/>
  <c r="K892" i="6" s="1"/>
  <c r="H892" i="6"/>
  <c r="G892" i="6"/>
  <c r="A892" i="6"/>
  <c r="Q891" i="6"/>
  <c r="J891" i="6"/>
  <c r="K891" i="6" s="1"/>
  <c r="H891" i="6"/>
  <c r="G891" i="6"/>
  <c r="A891" i="6"/>
  <c r="Q890" i="6"/>
  <c r="J890" i="6"/>
  <c r="K890" i="6" s="1"/>
  <c r="H890" i="6"/>
  <c r="G890" i="6"/>
  <c r="A890" i="6"/>
  <c r="Q889" i="6"/>
  <c r="J889" i="6"/>
  <c r="K889" i="6" s="1"/>
  <c r="H889" i="6"/>
  <c r="G889" i="6"/>
  <c r="A889" i="6"/>
  <c r="Q888" i="6"/>
  <c r="J888" i="6"/>
  <c r="K888" i="6" s="1"/>
  <c r="H888" i="6"/>
  <c r="G888" i="6"/>
  <c r="A888" i="6"/>
  <c r="Q887" i="6"/>
  <c r="J887" i="6"/>
  <c r="K887" i="6" s="1"/>
  <c r="H887" i="6"/>
  <c r="G887" i="6"/>
  <c r="A887" i="6"/>
  <c r="Q886" i="6"/>
  <c r="J886" i="6"/>
  <c r="K886" i="6" s="1"/>
  <c r="H886" i="6"/>
  <c r="G886" i="6"/>
  <c r="A886" i="6"/>
  <c r="Q885" i="6"/>
  <c r="J885" i="6"/>
  <c r="K885" i="6" s="1"/>
  <c r="H885" i="6"/>
  <c r="G885" i="6"/>
  <c r="A885" i="6"/>
  <c r="Q884" i="6"/>
  <c r="J884" i="6"/>
  <c r="K884" i="6" s="1"/>
  <c r="H884" i="6"/>
  <c r="G884" i="6"/>
  <c r="A884" i="6"/>
  <c r="Q883" i="6"/>
  <c r="J883" i="6"/>
  <c r="K883" i="6" s="1"/>
  <c r="H883" i="6"/>
  <c r="G883" i="6"/>
  <c r="A883" i="6"/>
  <c r="Q882" i="6"/>
  <c r="J882" i="6"/>
  <c r="K882" i="6" s="1"/>
  <c r="H882" i="6"/>
  <c r="G882" i="6"/>
  <c r="A882" i="6"/>
  <c r="Q881" i="6"/>
  <c r="J881" i="6"/>
  <c r="K881" i="6" s="1"/>
  <c r="H881" i="6"/>
  <c r="G881" i="6"/>
  <c r="A881" i="6"/>
  <c r="Q880" i="6"/>
  <c r="J880" i="6"/>
  <c r="K880" i="6" s="1"/>
  <c r="H880" i="6"/>
  <c r="G880" i="6"/>
  <c r="A880" i="6"/>
  <c r="Q879" i="6"/>
  <c r="J879" i="6"/>
  <c r="K879" i="6" s="1"/>
  <c r="H879" i="6"/>
  <c r="G879" i="6"/>
  <c r="A879" i="6"/>
  <c r="Q878" i="6"/>
  <c r="J878" i="6"/>
  <c r="K878" i="6" s="1"/>
  <c r="H878" i="6"/>
  <c r="G878" i="6"/>
  <c r="A878" i="6"/>
  <c r="Q877" i="6"/>
  <c r="J877" i="6"/>
  <c r="K877" i="6" s="1"/>
  <c r="H877" i="6"/>
  <c r="G877" i="6"/>
  <c r="A877" i="6"/>
  <c r="Q876" i="6"/>
  <c r="J876" i="6"/>
  <c r="K876" i="6" s="1"/>
  <c r="H876" i="6"/>
  <c r="G876" i="6"/>
  <c r="A876" i="6"/>
  <c r="Q875" i="6"/>
  <c r="J875" i="6"/>
  <c r="K875" i="6" s="1"/>
  <c r="H875" i="6"/>
  <c r="G875" i="6"/>
  <c r="A875" i="6"/>
  <c r="Q874" i="6"/>
  <c r="J874" i="6"/>
  <c r="K874" i="6" s="1"/>
  <c r="H874" i="6"/>
  <c r="G874" i="6"/>
  <c r="A874" i="6"/>
  <c r="Q873" i="6"/>
  <c r="J873" i="6"/>
  <c r="K873" i="6" s="1"/>
  <c r="H873" i="6"/>
  <c r="G873" i="6"/>
  <c r="A873" i="6"/>
  <c r="Q872" i="6"/>
  <c r="J872" i="6"/>
  <c r="K872" i="6" s="1"/>
  <c r="H872" i="6"/>
  <c r="G872" i="6"/>
  <c r="A872" i="6"/>
  <c r="Q871" i="6"/>
  <c r="J871" i="6"/>
  <c r="K871" i="6" s="1"/>
  <c r="H871" i="6"/>
  <c r="G871" i="6"/>
  <c r="A871" i="6"/>
  <c r="Q870" i="6"/>
  <c r="J870" i="6"/>
  <c r="K870" i="6" s="1"/>
  <c r="H870" i="6"/>
  <c r="G870" i="6"/>
  <c r="A870" i="6"/>
  <c r="Q869" i="6"/>
  <c r="J869" i="6"/>
  <c r="K869" i="6" s="1"/>
  <c r="H869" i="6"/>
  <c r="G869" i="6"/>
  <c r="A869" i="6"/>
  <c r="Q868" i="6"/>
  <c r="J868" i="6"/>
  <c r="K868" i="6" s="1"/>
  <c r="H868" i="6"/>
  <c r="G868" i="6"/>
  <c r="A868" i="6"/>
  <c r="Q867" i="6"/>
  <c r="J867" i="6"/>
  <c r="K867" i="6" s="1"/>
  <c r="H867" i="6"/>
  <c r="G867" i="6"/>
  <c r="A867" i="6"/>
  <c r="Q866" i="6"/>
  <c r="J866" i="6"/>
  <c r="K866" i="6" s="1"/>
  <c r="H866" i="6"/>
  <c r="G866" i="6"/>
  <c r="A866" i="6"/>
  <c r="Q865" i="6"/>
  <c r="J865" i="6"/>
  <c r="K865" i="6" s="1"/>
  <c r="H865" i="6"/>
  <c r="G865" i="6"/>
  <c r="A865" i="6"/>
  <c r="Q864" i="6"/>
  <c r="J864" i="6"/>
  <c r="K864" i="6" s="1"/>
  <c r="H864" i="6"/>
  <c r="G864" i="6"/>
  <c r="A864" i="6"/>
  <c r="Q863" i="6"/>
  <c r="J863" i="6"/>
  <c r="K863" i="6" s="1"/>
  <c r="H863" i="6"/>
  <c r="G863" i="6"/>
  <c r="A863" i="6"/>
  <c r="Q862" i="6"/>
  <c r="J862" i="6"/>
  <c r="K862" i="6" s="1"/>
  <c r="H862" i="6"/>
  <c r="G862" i="6"/>
  <c r="A862" i="6"/>
  <c r="Q861" i="6"/>
  <c r="J861" i="6"/>
  <c r="K861" i="6" s="1"/>
  <c r="H861" i="6"/>
  <c r="G861" i="6"/>
  <c r="A861" i="6"/>
  <c r="Q860" i="6"/>
  <c r="J860" i="6"/>
  <c r="K860" i="6" s="1"/>
  <c r="H860" i="6"/>
  <c r="G860" i="6"/>
  <c r="A860" i="6"/>
  <c r="Q859" i="6"/>
  <c r="J859" i="6"/>
  <c r="K859" i="6" s="1"/>
  <c r="H859" i="6"/>
  <c r="G859" i="6"/>
  <c r="A859" i="6"/>
  <c r="Q858" i="6"/>
  <c r="J858" i="6"/>
  <c r="K858" i="6" s="1"/>
  <c r="H858" i="6"/>
  <c r="G858" i="6"/>
  <c r="A858" i="6"/>
  <c r="Q857" i="6"/>
  <c r="J857" i="6"/>
  <c r="K857" i="6" s="1"/>
  <c r="H857" i="6"/>
  <c r="G857" i="6"/>
  <c r="A857" i="6"/>
  <c r="Q856" i="6"/>
  <c r="J856" i="6"/>
  <c r="K856" i="6" s="1"/>
  <c r="H856" i="6"/>
  <c r="G856" i="6"/>
  <c r="A856" i="6"/>
  <c r="Q855" i="6"/>
  <c r="J855" i="6"/>
  <c r="K855" i="6" s="1"/>
  <c r="H855" i="6"/>
  <c r="G855" i="6"/>
  <c r="A855" i="6"/>
  <c r="Q854" i="6"/>
  <c r="J854" i="6"/>
  <c r="K854" i="6" s="1"/>
  <c r="H854" i="6"/>
  <c r="G854" i="6"/>
  <c r="A854" i="6"/>
  <c r="Q853" i="6"/>
  <c r="J853" i="6"/>
  <c r="K853" i="6" s="1"/>
  <c r="H853" i="6"/>
  <c r="G853" i="6"/>
  <c r="A853" i="6"/>
  <c r="Q852" i="6"/>
  <c r="J852" i="6"/>
  <c r="K852" i="6" s="1"/>
  <c r="H852" i="6"/>
  <c r="G852" i="6"/>
  <c r="A852" i="6"/>
  <c r="Q851" i="6"/>
  <c r="J851" i="6"/>
  <c r="K851" i="6" s="1"/>
  <c r="H851" i="6"/>
  <c r="G851" i="6"/>
  <c r="A851" i="6"/>
  <c r="Q850" i="6"/>
  <c r="J850" i="6"/>
  <c r="K850" i="6" s="1"/>
  <c r="H850" i="6"/>
  <c r="G850" i="6"/>
  <c r="A850" i="6"/>
  <c r="Q849" i="6"/>
  <c r="J849" i="6"/>
  <c r="K849" i="6" s="1"/>
  <c r="H849" i="6"/>
  <c r="G849" i="6"/>
  <c r="A849" i="6"/>
  <c r="Q848" i="6"/>
  <c r="J848" i="6"/>
  <c r="K848" i="6" s="1"/>
  <c r="H848" i="6"/>
  <c r="G848" i="6"/>
  <c r="A848" i="6"/>
  <c r="Q847" i="6"/>
  <c r="J847" i="6"/>
  <c r="K847" i="6" s="1"/>
  <c r="H847" i="6"/>
  <c r="G847" i="6"/>
  <c r="A847" i="6"/>
  <c r="Q846" i="6"/>
  <c r="J846" i="6"/>
  <c r="K846" i="6" s="1"/>
  <c r="H846" i="6"/>
  <c r="G846" i="6"/>
  <c r="A846" i="6"/>
  <c r="Q845" i="6"/>
  <c r="J845" i="6"/>
  <c r="K845" i="6" s="1"/>
  <c r="H845" i="6"/>
  <c r="G845" i="6"/>
  <c r="A845" i="6"/>
  <c r="Q844" i="6"/>
  <c r="J844" i="6"/>
  <c r="K844" i="6" s="1"/>
  <c r="H844" i="6"/>
  <c r="G844" i="6"/>
  <c r="A844" i="6"/>
  <c r="Q843" i="6"/>
  <c r="J843" i="6"/>
  <c r="K843" i="6" s="1"/>
  <c r="H843" i="6"/>
  <c r="G843" i="6"/>
  <c r="A843" i="6"/>
  <c r="Q842" i="6"/>
  <c r="J842" i="6"/>
  <c r="K842" i="6" s="1"/>
  <c r="H842" i="6"/>
  <c r="G842" i="6"/>
  <c r="A842" i="6"/>
  <c r="Q841" i="6"/>
  <c r="J841" i="6"/>
  <c r="K841" i="6" s="1"/>
  <c r="H841" i="6"/>
  <c r="G841" i="6"/>
  <c r="A841" i="6"/>
  <c r="Q840" i="6"/>
  <c r="J840" i="6"/>
  <c r="K840" i="6" s="1"/>
  <c r="H840" i="6"/>
  <c r="G840" i="6"/>
  <c r="A840" i="6"/>
  <c r="Q839" i="6"/>
  <c r="J839" i="6"/>
  <c r="K839" i="6" s="1"/>
  <c r="H839" i="6"/>
  <c r="G839" i="6"/>
  <c r="A839" i="6"/>
  <c r="Q838" i="6"/>
  <c r="J838" i="6"/>
  <c r="K838" i="6" s="1"/>
  <c r="H838" i="6"/>
  <c r="G838" i="6"/>
  <c r="A838" i="6"/>
  <c r="Q837" i="6"/>
  <c r="J837" i="6"/>
  <c r="K837" i="6" s="1"/>
  <c r="H837" i="6"/>
  <c r="G837" i="6"/>
  <c r="A837" i="6"/>
  <c r="Q836" i="6"/>
  <c r="J836" i="6"/>
  <c r="K836" i="6" s="1"/>
  <c r="H836" i="6"/>
  <c r="G836" i="6"/>
  <c r="A836" i="6"/>
  <c r="Q835" i="6"/>
  <c r="J835" i="6"/>
  <c r="K835" i="6" s="1"/>
  <c r="H835" i="6"/>
  <c r="G835" i="6"/>
  <c r="A835" i="6"/>
  <c r="Q834" i="6"/>
  <c r="J834" i="6"/>
  <c r="K834" i="6" s="1"/>
  <c r="H834" i="6"/>
  <c r="G834" i="6"/>
  <c r="A834" i="6"/>
  <c r="Q833" i="6"/>
  <c r="J833" i="6"/>
  <c r="K833" i="6" s="1"/>
  <c r="H833" i="6"/>
  <c r="G833" i="6"/>
  <c r="A833" i="6"/>
  <c r="Q832" i="6"/>
  <c r="J832" i="6"/>
  <c r="K832" i="6" s="1"/>
  <c r="H832" i="6"/>
  <c r="G832" i="6"/>
  <c r="A832" i="6"/>
  <c r="Q831" i="6"/>
  <c r="J831" i="6"/>
  <c r="K831" i="6" s="1"/>
  <c r="H831" i="6"/>
  <c r="G831" i="6"/>
  <c r="A831" i="6"/>
  <c r="Q830" i="6"/>
  <c r="J830" i="6"/>
  <c r="K830" i="6" s="1"/>
  <c r="H830" i="6"/>
  <c r="G830" i="6"/>
  <c r="A830" i="6"/>
  <c r="Q829" i="6"/>
  <c r="J829" i="6"/>
  <c r="K829" i="6" s="1"/>
  <c r="H829" i="6"/>
  <c r="G829" i="6"/>
  <c r="A829" i="6"/>
  <c r="Q828" i="6"/>
  <c r="J828" i="6"/>
  <c r="K828" i="6" s="1"/>
  <c r="H828" i="6"/>
  <c r="G828" i="6"/>
  <c r="A828" i="6"/>
  <c r="Q827" i="6"/>
  <c r="J827" i="6"/>
  <c r="K827" i="6" s="1"/>
  <c r="H827" i="6"/>
  <c r="G827" i="6"/>
  <c r="A827" i="6"/>
  <c r="Q826" i="6"/>
  <c r="J826" i="6"/>
  <c r="K826" i="6" s="1"/>
  <c r="H826" i="6"/>
  <c r="G826" i="6"/>
  <c r="A826" i="6"/>
  <c r="Q825" i="6"/>
  <c r="J825" i="6"/>
  <c r="K825" i="6" s="1"/>
  <c r="H825" i="6"/>
  <c r="G825" i="6"/>
  <c r="A825" i="6"/>
  <c r="Q824" i="6"/>
  <c r="J824" i="6"/>
  <c r="K824" i="6" s="1"/>
  <c r="H824" i="6"/>
  <c r="G824" i="6"/>
  <c r="A824" i="6"/>
  <c r="Q823" i="6"/>
  <c r="J823" i="6"/>
  <c r="K823" i="6" s="1"/>
  <c r="H823" i="6"/>
  <c r="G823" i="6"/>
  <c r="A823" i="6"/>
  <c r="Q822" i="6"/>
  <c r="J822" i="6"/>
  <c r="K822" i="6" s="1"/>
  <c r="H822" i="6"/>
  <c r="G822" i="6"/>
  <c r="A822" i="6"/>
  <c r="Q821" i="6"/>
  <c r="J821" i="6"/>
  <c r="K821" i="6" s="1"/>
  <c r="H821" i="6"/>
  <c r="G821" i="6"/>
  <c r="A821" i="6"/>
  <c r="Q820" i="6"/>
  <c r="J820" i="6"/>
  <c r="K820" i="6" s="1"/>
  <c r="H820" i="6"/>
  <c r="G820" i="6"/>
  <c r="A820" i="6"/>
  <c r="Q819" i="6"/>
  <c r="J819" i="6"/>
  <c r="K819" i="6" s="1"/>
  <c r="H819" i="6"/>
  <c r="G819" i="6"/>
  <c r="A819" i="6"/>
  <c r="Q818" i="6"/>
  <c r="J818" i="6"/>
  <c r="K818" i="6" s="1"/>
  <c r="H818" i="6"/>
  <c r="G818" i="6"/>
  <c r="A818" i="6"/>
  <c r="Q817" i="6"/>
  <c r="J817" i="6"/>
  <c r="K817" i="6" s="1"/>
  <c r="H817" i="6"/>
  <c r="G817" i="6"/>
  <c r="A817" i="6"/>
  <c r="Q816" i="6"/>
  <c r="J816" i="6"/>
  <c r="K816" i="6" s="1"/>
  <c r="H816" i="6"/>
  <c r="G816" i="6"/>
  <c r="A816" i="6"/>
  <c r="Q815" i="6"/>
  <c r="J815" i="6"/>
  <c r="K815" i="6" s="1"/>
  <c r="H815" i="6"/>
  <c r="G815" i="6"/>
  <c r="A815" i="6"/>
  <c r="Q814" i="6"/>
  <c r="J814" i="6"/>
  <c r="K814" i="6" s="1"/>
  <c r="H814" i="6"/>
  <c r="G814" i="6"/>
  <c r="A814" i="6"/>
  <c r="Q813" i="6"/>
  <c r="J813" i="6"/>
  <c r="K813" i="6" s="1"/>
  <c r="H813" i="6"/>
  <c r="G813" i="6"/>
  <c r="A813" i="6"/>
  <c r="Q812" i="6"/>
  <c r="J812" i="6"/>
  <c r="K812" i="6" s="1"/>
  <c r="H812" i="6"/>
  <c r="G812" i="6"/>
  <c r="A812" i="6"/>
  <c r="Q811" i="6"/>
  <c r="J811" i="6"/>
  <c r="K811" i="6" s="1"/>
  <c r="H811" i="6"/>
  <c r="G811" i="6"/>
  <c r="A811" i="6"/>
  <c r="Q810" i="6"/>
  <c r="J810" i="6"/>
  <c r="K810" i="6" s="1"/>
  <c r="H810" i="6"/>
  <c r="G810" i="6"/>
  <c r="A810" i="6"/>
  <c r="Q809" i="6"/>
  <c r="J809" i="6"/>
  <c r="K809" i="6" s="1"/>
  <c r="H809" i="6"/>
  <c r="G809" i="6"/>
  <c r="A809" i="6"/>
  <c r="Q808" i="6"/>
  <c r="J808" i="6"/>
  <c r="K808" i="6" s="1"/>
  <c r="H808" i="6"/>
  <c r="G808" i="6"/>
  <c r="A808" i="6"/>
  <c r="Q807" i="6"/>
  <c r="J807" i="6"/>
  <c r="K807" i="6" s="1"/>
  <c r="H807" i="6"/>
  <c r="G807" i="6"/>
  <c r="A807" i="6"/>
  <c r="Q806" i="6"/>
  <c r="J806" i="6"/>
  <c r="K806" i="6" s="1"/>
  <c r="H806" i="6"/>
  <c r="G806" i="6"/>
  <c r="A806" i="6"/>
  <c r="Q805" i="6"/>
  <c r="J805" i="6"/>
  <c r="K805" i="6" s="1"/>
  <c r="H805" i="6"/>
  <c r="G805" i="6"/>
  <c r="A805" i="6"/>
  <c r="Q804" i="6"/>
  <c r="J804" i="6"/>
  <c r="K804" i="6" s="1"/>
  <c r="H804" i="6"/>
  <c r="G804" i="6"/>
  <c r="A804" i="6"/>
  <c r="Q803" i="6"/>
  <c r="J803" i="6"/>
  <c r="K803" i="6" s="1"/>
  <c r="H803" i="6"/>
  <c r="G803" i="6"/>
  <c r="A803" i="6"/>
  <c r="Q802" i="6"/>
  <c r="J802" i="6"/>
  <c r="K802" i="6" s="1"/>
  <c r="H802" i="6"/>
  <c r="G802" i="6"/>
  <c r="A802" i="6"/>
  <c r="Q801" i="6"/>
  <c r="J801" i="6"/>
  <c r="K801" i="6" s="1"/>
  <c r="H801" i="6"/>
  <c r="G801" i="6"/>
  <c r="A801" i="6"/>
  <c r="Q800" i="6"/>
  <c r="J800" i="6"/>
  <c r="K800" i="6" s="1"/>
  <c r="H800" i="6"/>
  <c r="G800" i="6"/>
  <c r="A800" i="6"/>
  <c r="Q799" i="6"/>
  <c r="J799" i="6"/>
  <c r="K799" i="6" s="1"/>
  <c r="H799" i="6"/>
  <c r="G799" i="6"/>
  <c r="A799" i="6"/>
  <c r="Q798" i="6"/>
  <c r="J798" i="6"/>
  <c r="K798" i="6" s="1"/>
  <c r="H798" i="6"/>
  <c r="G798" i="6"/>
  <c r="A798" i="6"/>
  <c r="Q797" i="6"/>
  <c r="J797" i="6"/>
  <c r="K797" i="6" s="1"/>
  <c r="H797" i="6"/>
  <c r="G797" i="6"/>
  <c r="A797" i="6"/>
  <c r="Q796" i="6"/>
  <c r="J796" i="6"/>
  <c r="K796" i="6" s="1"/>
  <c r="H796" i="6"/>
  <c r="G796" i="6"/>
  <c r="A796" i="6"/>
  <c r="Q795" i="6"/>
  <c r="J795" i="6"/>
  <c r="K795" i="6" s="1"/>
  <c r="H795" i="6"/>
  <c r="G795" i="6"/>
  <c r="A795" i="6"/>
  <c r="Q794" i="6"/>
  <c r="J794" i="6"/>
  <c r="K794" i="6" s="1"/>
  <c r="H794" i="6"/>
  <c r="G794" i="6"/>
  <c r="A794" i="6"/>
  <c r="Q793" i="6"/>
  <c r="J793" i="6"/>
  <c r="K793" i="6" s="1"/>
  <c r="H793" i="6"/>
  <c r="G793" i="6"/>
  <c r="A793" i="6"/>
  <c r="Q792" i="6"/>
  <c r="J792" i="6"/>
  <c r="K792" i="6" s="1"/>
  <c r="H792" i="6"/>
  <c r="G792" i="6"/>
  <c r="A792" i="6"/>
  <c r="Q791" i="6"/>
  <c r="J791" i="6"/>
  <c r="K791" i="6" s="1"/>
  <c r="H791" i="6"/>
  <c r="G791" i="6"/>
  <c r="A791" i="6"/>
  <c r="Q790" i="6"/>
  <c r="J790" i="6"/>
  <c r="K790" i="6" s="1"/>
  <c r="H790" i="6"/>
  <c r="G790" i="6"/>
  <c r="A790" i="6"/>
  <c r="Q789" i="6"/>
  <c r="J789" i="6"/>
  <c r="K789" i="6" s="1"/>
  <c r="H789" i="6"/>
  <c r="G789" i="6"/>
  <c r="A789" i="6"/>
  <c r="Q788" i="6"/>
  <c r="J788" i="6"/>
  <c r="K788" i="6" s="1"/>
  <c r="H788" i="6"/>
  <c r="G788" i="6"/>
  <c r="A788" i="6"/>
  <c r="Q787" i="6"/>
  <c r="J787" i="6"/>
  <c r="K787" i="6" s="1"/>
  <c r="H787" i="6"/>
  <c r="G787" i="6"/>
  <c r="A787" i="6"/>
  <c r="Q786" i="6"/>
  <c r="J786" i="6"/>
  <c r="K786" i="6" s="1"/>
  <c r="H786" i="6"/>
  <c r="G786" i="6"/>
  <c r="A786" i="6"/>
  <c r="Q785" i="6"/>
  <c r="J785" i="6"/>
  <c r="K785" i="6" s="1"/>
  <c r="H785" i="6"/>
  <c r="G785" i="6"/>
  <c r="A785" i="6"/>
  <c r="Q784" i="6"/>
  <c r="J784" i="6"/>
  <c r="K784" i="6" s="1"/>
  <c r="H784" i="6"/>
  <c r="G784" i="6"/>
  <c r="A784" i="6"/>
  <c r="Q783" i="6"/>
  <c r="J783" i="6"/>
  <c r="K783" i="6" s="1"/>
  <c r="H783" i="6"/>
  <c r="G783" i="6"/>
  <c r="A783" i="6"/>
  <c r="Q782" i="6"/>
  <c r="J782" i="6"/>
  <c r="K782" i="6" s="1"/>
  <c r="H782" i="6"/>
  <c r="G782" i="6"/>
  <c r="A782" i="6"/>
  <c r="Q781" i="6"/>
  <c r="J781" i="6"/>
  <c r="K781" i="6" s="1"/>
  <c r="H781" i="6"/>
  <c r="G781" i="6"/>
  <c r="A781" i="6"/>
  <c r="Q780" i="6"/>
  <c r="J780" i="6"/>
  <c r="K780" i="6" s="1"/>
  <c r="H780" i="6"/>
  <c r="G780" i="6"/>
  <c r="A780" i="6"/>
  <c r="Q779" i="6"/>
  <c r="J779" i="6"/>
  <c r="K779" i="6" s="1"/>
  <c r="H779" i="6"/>
  <c r="G779" i="6"/>
  <c r="A779" i="6"/>
  <c r="Q778" i="6"/>
  <c r="J778" i="6"/>
  <c r="K778" i="6" s="1"/>
  <c r="H778" i="6"/>
  <c r="G778" i="6"/>
  <c r="A778" i="6"/>
  <c r="Q777" i="6"/>
  <c r="J777" i="6"/>
  <c r="K777" i="6" s="1"/>
  <c r="H777" i="6"/>
  <c r="G777" i="6"/>
  <c r="A777" i="6"/>
  <c r="Q776" i="6"/>
  <c r="J776" i="6"/>
  <c r="K776" i="6" s="1"/>
  <c r="H776" i="6"/>
  <c r="G776" i="6"/>
  <c r="A776" i="6"/>
  <c r="Q775" i="6"/>
  <c r="J775" i="6"/>
  <c r="K775" i="6" s="1"/>
  <c r="H775" i="6"/>
  <c r="G775" i="6"/>
  <c r="A775" i="6"/>
  <c r="Q774" i="6"/>
  <c r="J774" i="6"/>
  <c r="K774" i="6" s="1"/>
  <c r="H774" i="6"/>
  <c r="G774" i="6"/>
  <c r="A774" i="6"/>
  <c r="Q773" i="6"/>
  <c r="J773" i="6"/>
  <c r="K773" i="6" s="1"/>
  <c r="H773" i="6"/>
  <c r="G773" i="6"/>
  <c r="A773" i="6"/>
  <c r="Q772" i="6"/>
  <c r="J772" i="6"/>
  <c r="K772" i="6" s="1"/>
  <c r="H772" i="6"/>
  <c r="G772" i="6"/>
  <c r="A772" i="6"/>
  <c r="Q771" i="6"/>
  <c r="J771" i="6"/>
  <c r="K771" i="6" s="1"/>
  <c r="H771" i="6"/>
  <c r="G771" i="6"/>
  <c r="A771" i="6"/>
  <c r="Q770" i="6"/>
  <c r="J770" i="6"/>
  <c r="K770" i="6" s="1"/>
  <c r="H770" i="6"/>
  <c r="G770" i="6"/>
  <c r="A770" i="6"/>
  <c r="Q769" i="6"/>
  <c r="J769" i="6"/>
  <c r="K769" i="6" s="1"/>
  <c r="H769" i="6"/>
  <c r="G769" i="6"/>
  <c r="A769" i="6"/>
  <c r="Q768" i="6"/>
  <c r="J768" i="6"/>
  <c r="K768" i="6" s="1"/>
  <c r="H768" i="6"/>
  <c r="G768" i="6"/>
  <c r="A768" i="6"/>
  <c r="Q767" i="6"/>
  <c r="J767" i="6"/>
  <c r="K767" i="6" s="1"/>
  <c r="H767" i="6"/>
  <c r="G767" i="6"/>
  <c r="A767" i="6"/>
  <c r="Q766" i="6"/>
  <c r="J766" i="6"/>
  <c r="K766" i="6" s="1"/>
  <c r="H766" i="6"/>
  <c r="G766" i="6"/>
  <c r="A766" i="6"/>
  <c r="Q765" i="6"/>
  <c r="J765" i="6"/>
  <c r="K765" i="6" s="1"/>
  <c r="H765" i="6"/>
  <c r="G765" i="6"/>
  <c r="A765" i="6"/>
  <c r="Q764" i="6"/>
  <c r="J764" i="6"/>
  <c r="K764" i="6" s="1"/>
  <c r="H764" i="6"/>
  <c r="G764" i="6"/>
  <c r="A764" i="6"/>
  <c r="Q763" i="6"/>
  <c r="J763" i="6"/>
  <c r="K763" i="6" s="1"/>
  <c r="H763" i="6"/>
  <c r="G763" i="6"/>
  <c r="A763" i="6"/>
  <c r="Q762" i="6"/>
  <c r="J762" i="6"/>
  <c r="K762" i="6" s="1"/>
  <c r="H762" i="6"/>
  <c r="G762" i="6"/>
  <c r="A762" i="6"/>
  <c r="Q761" i="6"/>
  <c r="J761" i="6"/>
  <c r="K761" i="6" s="1"/>
  <c r="H761" i="6"/>
  <c r="G761" i="6"/>
  <c r="A761" i="6"/>
  <c r="Q760" i="6"/>
  <c r="J760" i="6"/>
  <c r="K760" i="6" s="1"/>
  <c r="H760" i="6"/>
  <c r="G760" i="6"/>
  <c r="A760" i="6"/>
  <c r="Q759" i="6"/>
  <c r="J759" i="6"/>
  <c r="K759" i="6" s="1"/>
  <c r="H759" i="6"/>
  <c r="G759" i="6"/>
  <c r="A759" i="6"/>
  <c r="Q758" i="6"/>
  <c r="J758" i="6"/>
  <c r="K758" i="6" s="1"/>
  <c r="H758" i="6"/>
  <c r="G758" i="6"/>
  <c r="A758" i="6"/>
  <c r="Q757" i="6"/>
  <c r="J757" i="6"/>
  <c r="K757" i="6" s="1"/>
  <c r="H757" i="6"/>
  <c r="G757" i="6"/>
  <c r="A757" i="6"/>
  <c r="Q756" i="6"/>
  <c r="J756" i="6"/>
  <c r="K756" i="6" s="1"/>
  <c r="H756" i="6"/>
  <c r="G756" i="6"/>
  <c r="A756" i="6"/>
  <c r="Q755" i="6"/>
  <c r="J755" i="6"/>
  <c r="K755" i="6" s="1"/>
  <c r="H755" i="6"/>
  <c r="G755" i="6"/>
  <c r="A755" i="6"/>
  <c r="Q754" i="6"/>
  <c r="J754" i="6"/>
  <c r="K754" i="6" s="1"/>
  <c r="H754" i="6"/>
  <c r="G754" i="6"/>
  <c r="A754" i="6"/>
  <c r="Q753" i="6"/>
  <c r="J753" i="6"/>
  <c r="K753" i="6" s="1"/>
  <c r="H753" i="6"/>
  <c r="G753" i="6"/>
  <c r="A753" i="6"/>
  <c r="Q752" i="6"/>
  <c r="J752" i="6"/>
  <c r="K752" i="6" s="1"/>
  <c r="H752" i="6"/>
  <c r="G752" i="6"/>
  <c r="A752" i="6"/>
  <c r="Q751" i="6"/>
  <c r="J751" i="6"/>
  <c r="K751" i="6" s="1"/>
  <c r="H751" i="6"/>
  <c r="G751" i="6"/>
  <c r="A751" i="6"/>
  <c r="Q750" i="6"/>
  <c r="J750" i="6"/>
  <c r="K750" i="6" s="1"/>
  <c r="H750" i="6"/>
  <c r="G750" i="6"/>
  <c r="A750" i="6"/>
  <c r="Q749" i="6"/>
  <c r="J749" i="6"/>
  <c r="K749" i="6" s="1"/>
  <c r="H749" i="6"/>
  <c r="G749" i="6"/>
  <c r="A749" i="6"/>
  <c r="Q748" i="6"/>
  <c r="J748" i="6"/>
  <c r="K748" i="6" s="1"/>
  <c r="H748" i="6"/>
  <c r="G748" i="6"/>
  <c r="A748" i="6"/>
  <c r="Q747" i="6"/>
  <c r="J747" i="6"/>
  <c r="K747" i="6" s="1"/>
  <c r="H747" i="6"/>
  <c r="G747" i="6"/>
  <c r="A747" i="6"/>
  <c r="Q746" i="6"/>
  <c r="J746" i="6"/>
  <c r="K746" i="6" s="1"/>
  <c r="H746" i="6"/>
  <c r="G746" i="6"/>
  <c r="A746" i="6"/>
  <c r="Q745" i="6"/>
  <c r="J745" i="6"/>
  <c r="K745" i="6" s="1"/>
  <c r="H745" i="6"/>
  <c r="G745" i="6"/>
  <c r="A745" i="6"/>
  <c r="Q744" i="6"/>
  <c r="J744" i="6"/>
  <c r="K744" i="6" s="1"/>
  <c r="H744" i="6"/>
  <c r="G744" i="6"/>
  <c r="A744" i="6"/>
  <c r="Q743" i="6"/>
  <c r="J743" i="6"/>
  <c r="K743" i="6" s="1"/>
  <c r="H743" i="6"/>
  <c r="G743" i="6"/>
  <c r="A743" i="6"/>
  <c r="Q742" i="6"/>
  <c r="J742" i="6"/>
  <c r="K742" i="6" s="1"/>
  <c r="H742" i="6"/>
  <c r="G742" i="6"/>
  <c r="A742" i="6"/>
  <c r="Q741" i="6"/>
  <c r="J741" i="6"/>
  <c r="K741" i="6" s="1"/>
  <c r="H741" i="6"/>
  <c r="G741" i="6"/>
  <c r="A741" i="6"/>
  <c r="Q740" i="6"/>
  <c r="J740" i="6"/>
  <c r="K740" i="6" s="1"/>
  <c r="H740" i="6"/>
  <c r="G740" i="6"/>
  <c r="A740" i="6"/>
  <c r="Q739" i="6"/>
  <c r="J739" i="6"/>
  <c r="K739" i="6" s="1"/>
  <c r="H739" i="6"/>
  <c r="G739" i="6"/>
  <c r="A739" i="6"/>
  <c r="Q738" i="6"/>
  <c r="J738" i="6"/>
  <c r="K738" i="6" s="1"/>
  <c r="H738" i="6"/>
  <c r="G738" i="6"/>
  <c r="A738" i="6"/>
  <c r="Q737" i="6"/>
  <c r="J737" i="6"/>
  <c r="K737" i="6" s="1"/>
  <c r="H737" i="6"/>
  <c r="G737" i="6"/>
  <c r="A737" i="6"/>
  <c r="Q736" i="6"/>
  <c r="J736" i="6"/>
  <c r="K736" i="6" s="1"/>
  <c r="H736" i="6"/>
  <c r="G736" i="6"/>
  <c r="A736" i="6"/>
  <c r="Q735" i="6"/>
  <c r="J735" i="6"/>
  <c r="K735" i="6" s="1"/>
  <c r="H735" i="6"/>
  <c r="G735" i="6"/>
  <c r="A735" i="6"/>
  <c r="Q734" i="6"/>
  <c r="J734" i="6"/>
  <c r="K734" i="6" s="1"/>
  <c r="H734" i="6"/>
  <c r="G734" i="6"/>
  <c r="A734" i="6"/>
  <c r="Q733" i="6"/>
  <c r="J733" i="6"/>
  <c r="K733" i="6" s="1"/>
  <c r="H733" i="6"/>
  <c r="G733" i="6"/>
  <c r="A733" i="6"/>
  <c r="Q732" i="6"/>
  <c r="J732" i="6"/>
  <c r="K732" i="6" s="1"/>
  <c r="H732" i="6"/>
  <c r="G732" i="6"/>
  <c r="A732" i="6"/>
  <c r="Q731" i="6"/>
  <c r="J731" i="6"/>
  <c r="K731" i="6" s="1"/>
  <c r="H731" i="6"/>
  <c r="G731" i="6"/>
  <c r="A731" i="6"/>
  <c r="Q730" i="6"/>
  <c r="J730" i="6"/>
  <c r="K730" i="6" s="1"/>
  <c r="H730" i="6"/>
  <c r="G730" i="6"/>
  <c r="A730" i="6"/>
  <c r="Q729" i="6"/>
  <c r="J729" i="6"/>
  <c r="K729" i="6" s="1"/>
  <c r="H729" i="6"/>
  <c r="G729" i="6"/>
  <c r="A729" i="6"/>
  <c r="Q728" i="6"/>
  <c r="J728" i="6"/>
  <c r="K728" i="6" s="1"/>
  <c r="H728" i="6"/>
  <c r="G728" i="6"/>
  <c r="A728" i="6"/>
  <c r="Q727" i="6"/>
  <c r="J727" i="6"/>
  <c r="K727" i="6" s="1"/>
  <c r="H727" i="6"/>
  <c r="G727" i="6"/>
  <c r="A727" i="6"/>
  <c r="Q726" i="6"/>
  <c r="J726" i="6"/>
  <c r="K726" i="6" s="1"/>
  <c r="H726" i="6"/>
  <c r="G726" i="6"/>
  <c r="A726" i="6"/>
  <c r="Q725" i="6"/>
  <c r="J725" i="6"/>
  <c r="K725" i="6" s="1"/>
  <c r="H725" i="6"/>
  <c r="G725" i="6"/>
  <c r="A725" i="6"/>
  <c r="Q724" i="6"/>
  <c r="J724" i="6"/>
  <c r="K724" i="6" s="1"/>
  <c r="H724" i="6"/>
  <c r="G724" i="6"/>
  <c r="A724" i="6"/>
  <c r="Q723" i="6"/>
  <c r="J723" i="6"/>
  <c r="K723" i="6" s="1"/>
  <c r="H723" i="6"/>
  <c r="G723" i="6"/>
  <c r="A723" i="6"/>
  <c r="Q722" i="6"/>
  <c r="J722" i="6"/>
  <c r="K722" i="6" s="1"/>
  <c r="H722" i="6"/>
  <c r="G722" i="6"/>
  <c r="A722" i="6"/>
  <c r="Q721" i="6"/>
  <c r="J721" i="6"/>
  <c r="K721" i="6" s="1"/>
  <c r="H721" i="6"/>
  <c r="G721" i="6"/>
  <c r="A721" i="6"/>
  <c r="Q720" i="6"/>
  <c r="J720" i="6"/>
  <c r="K720" i="6" s="1"/>
  <c r="H720" i="6"/>
  <c r="G720" i="6"/>
  <c r="A720" i="6"/>
  <c r="Q719" i="6"/>
  <c r="J719" i="6"/>
  <c r="K719" i="6" s="1"/>
  <c r="H719" i="6"/>
  <c r="G719" i="6"/>
  <c r="A719" i="6"/>
  <c r="Q718" i="6"/>
  <c r="J718" i="6"/>
  <c r="K718" i="6" s="1"/>
  <c r="H718" i="6"/>
  <c r="G718" i="6"/>
  <c r="A718" i="6"/>
  <c r="Q717" i="6"/>
  <c r="J717" i="6"/>
  <c r="K717" i="6" s="1"/>
  <c r="H717" i="6"/>
  <c r="G717" i="6"/>
  <c r="A717" i="6"/>
  <c r="Q716" i="6"/>
  <c r="J716" i="6"/>
  <c r="K716" i="6" s="1"/>
  <c r="H716" i="6"/>
  <c r="G716" i="6"/>
  <c r="A716" i="6"/>
  <c r="Q715" i="6"/>
  <c r="J715" i="6"/>
  <c r="K715" i="6" s="1"/>
  <c r="H715" i="6"/>
  <c r="G715" i="6"/>
  <c r="A715" i="6"/>
  <c r="Q714" i="6"/>
  <c r="J714" i="6"/>
  <c r="K714" i="6" s="1"/>
  <c r="H714" i="6"/>
  <c r="G714" i="6"/>
  <c r="A714" i="6"/>
  <c r="Q713" i="6"/>
  <c r="J713" i="6"/>
  <c r="K713" i="6" s="1"/>
  <c r="H713" i="6"/>
  <c r="G713" i="6"/>
  <c r="A713" i="6"/>
  <c r="Q712" i="6"/>
  <c r="J712" i="6"/>
  <c r="K712" i="6" s="1"/>
  <c r="H712" i="6"/>
  <c r="G712" i="6"/>
  <c r="A712" i="6"/>
  <c r="Q711" i="6"/>
  <c r="J711" i="6"/>
  <c r="K711" i="6" s="1"/>
  <c r="H711" i="6"/>
  <c r="G711" i="6"/>
  <c r="A711" i="6"/>
  <c r="Q710" i="6"/>
  <c r="J710" i="6"/>
  <c r="K710" i="6" s="1"/>
  <c r="H710" i="6"/>
  <c r="G710" i="6"/>
  <c r="A710" i="6"/>
  <c r="Q709" i="6"/>
  <c r="J709" i="6"/>
  <c r="K709" i="6" s="1"/>
  <c r="H709" i="6"/>
  <c r="G709" i="6"/>
  <c r="A709" i="6"/>
  <c r="Q708" i="6"/>
  <c r="J708" i="6"/>
  <c r="K708" i="6" s="1"/>
  <c r="H708" i="6"/>
  <c r="G708" i="6"/>
  <c r="A708" i="6"/>
  <c r="Q707" i="6"/>
  <c r="J707" i="6"/>
  <c r="K707" i="6" s="1"/>
  <c r="H707" i="6"/>
  <c r="G707" i="6"/>
  <c r="A707" i="6"/>
  <c r="Q706" i="6"/>
  <c r="J706" i="6"/>
  <c r="K706" i="6" s="1"/>
  <c r="H706" i="6"/>
  <c r="G706" i="6"/>
  <c r="A706" i="6"/>
  <c r="Q705" i="6"/>
  <c r="J705" i="6"/>
  <c r="K705" i="6" s="1"/>
  <c r="H705" i="6"/>
  <c r="G705" i="6"/>
  <c r="A705" i="6"/>
  <c r="Q704" i="6"/>
  <c r="J704" i="6"/>
  <c r="K704" i="6" s="1"/>
  <c r="H704" i="6"/>
  <c r="G704" i="6"/>
  <c r="A704" i="6"/>
  <c r="Q703" i="6"/>
  <c r="J703" i="6"/>
  <c r="K703" i="6" s="1"/>
  <c r="H703" i="6"/>
  <c r="G703" i="6"/>
  <c r="A703" i="6"/>
  <c r="Q702" i="6"/>
  <c r="J702" i="6"/>
  <c r="K702" i="6" s="1"/>
  <c r="H702" i="6"/>
  <c r="G702" i="6"/>
  <c r="A702" i="6"/>
  <c r="Q701" i="6"/>
  <c r="J701" i="6"/>
  <c r="K701" i="6" s="1"/>
  <c r="H701" i="6"/>
  <c r="G701" i="6"/>
  <c r="A701" i="6"/>
  <c r="Q700" i="6"/>
  <c r="J700" i="6"/>
  <c r="K700" i="6" s="1"/>
  <c r="H700" i="6"/>
  <c r="G700" i="6"/>
  <c r="A700" i="6"/>
  <c r="Q699" i="6"/>
  <c r="J699" i="6"/>
  <c r="K699" i="6" s="1"/>
  <c r="H699" i="6"/>
  <c r="G699" i="6"/>
  <c r="A699" i="6"/>
  <c r="Q698" i="6"/>
  <c r="J698" i="6"/>
  <c r="K698" i="6" s="1"/>
  <c r="H698" i="6"/>
  <c r="G698" i="6"/>
  <c r="A698" i="6"/>
  <c r="Q697" i="6"/>
  <c r="J697" i="6"/>
  <c r="K697" i="6" s="1"/>
  <c r="H697" i="6"/>
  <c r="G697" i="6"/>
  <c r="A697" i="6"/>
  <c r="Q696" i="6"/>
  <c r="J696" i="6"/>
  <c r="K696" i="6" s="1"/>
  <c r="H696" i="6"/>
  <c r="G696" i="6"/>
  <c r="A696" i="6"/>
  <c r="Q695" i="6"/>
  <c r="J695" i="6"/>
  <c r="K695" i="6" s="1"/>
  <c r="H695" i="6"/>
  <c r="G695" i="6"/>
  <c r="A695" i="6"/>
  <c r="Q694" i="6"/>
  <c r="J694" i="6"/>
  <c r="K694" i="6" s="1"/>
  <c r="H694" i="6"/>
  <c r="G694" i="6"/>
  <c r="A694" i="6"/>
  <c r="Q693" i="6"/>
  <c r="J693" i="6"/>
  <c r="K693" i="6" s="1"/>
  <c r="H693" i="6"/>
  <c r="G693" i="6"/>
  <c r="A693" i="6"/>
  <c r="Q692" i="6"/>
  <c r="J692" i="6"/>
  <c r="K692" i="6" s="1"/>
  <c r="H692" i="6"/>
  <c r="G692" i="6"/>
  <c r="A692" i="6"/>
  <c r="Q691" i="6"/>
  <c r="J691" i="6"/>
  <c r="K691" i="6" s="1"/>
  <c r="H691" i="6"/>
  <c r="G691" i="6"/>
  <c r="A691" i="6"/>
  <c r="Q690" i="6"/>
  <c r="J690" i="6"/>
  <c r="K690" i="6" s="1"/>
  <c r="H690" i="6"/>
  <c r="G690" i="6"/>
  <c r="A690" i="6"/>
  <c r="Q689" i="6"/>
  <c r="J689" i="6"/>
  <c r="K689" i="6" s="1"/>
  <c r="H689" i="6"/>
  <c r="G689" i="6"/>
  <c r="A689" i="6"/>
  <c r="Q688" i="6"/>
  <c r="J688" i="6"/>
  <c r="K688" i="6" s="1"/>
  <c r="H688" i="6"/>
  <c r="G688" i="6"/>
  <c r="A688" i="6"/>
  <c r="Q687" i="6"/>
  <c r="J687" i="6"/>
  <c r="K687" i="6" s="1"/>
  <c r="H687" i="6"/>
  <c r="G687" i="6"/>
  <c r="A687" i="6"/>
  <c r="Q686" i="6"/>
  <c r="J686" i="6"/>
  <c r="K686" i="6" s="1"/>
  <c r="H686" i="6"/>
  <c r="G686" i="6"/>
  <c r="A686" i="6"/>
  <c r="Q685" i="6"/>
  <c r="J685" i="6"/>
  <c r="K685" i="6" s="1"/>
  <c r="H685" i="6"/>
  <c r="G685" i="6"/>
  <c r="A685" i="6"/>
  <c r="Q684" i="6"/>
  <c r="J684" i="6"/>
  <c r="K684" i="6" s="1"/>
  <c r="H684" i="6"/>
  <c r="G684" i="6"/>
  <c r="A684" i="6"/>
  <c r="Q683" i="6"/>
  <c r="J683" i="6"/>
  <c r="K683" i="6" s="1"/>
  <c r="H683" i="6"/>
  <c r="G683" i="6"/>
  <c r="A683" i="6"/>
  <c r="Q682" i="6"/>
  <c r="J682" i="6"/>
  <c r="K682" i="6" s="1"/>
  <c r="H682" i="6"/>
  <c r="G682" i="6"/>
  <c r="A682" i="6"/>
  <c r="Q681" i="6"/>
  <c r="J681" i="6"/>
  <c r="K681" i="6" s="1"/>
  <c r="H681" i="6"/>
  <c r="G681" i="6"/>
  <c r="A681" i="6"/>
  <c r="Q680" i="6"/>
  <c r="J680" i="6"/>
  <c r="K680" i="6" s="1"/>
  <c r="H680" i="6"/>
  <c r="G680" i="6"/>
  <c r="A680" i="6"/>
  <c r="Q679" i="6"/>
  <c r="J679" i="6"/>
  <c r="K679" i="6" s="1"/>
  <c r="H679" i="6"/>
  <c r="G679" i="6"/>
  <c r="A679" i="6"/>
  <c r="Q678" i="6"/>
  <c r="J678" i="6"/>
  <c r="K678" i="6" s="1"/>
  <c r="H678" i="6"/>
  <c r="G678" i="6"/>
  <c r="A678" i="6"/>
  <c r="Q677" i="6"/>
  <c r="J677" i="6"/>
  <c r="K677" i="6" s="1"/>
  <c r="H677" i="6"/>
  <c r="G677" i="6"/>
  <c r="A677" i="6"/>
  <c r="Q676" i="6"/>
  <c r="J676" i="6"/>
  <c r="K676" i="6" s="1"/>
  <c r="H676" i="6"/>
  <c r="G676" i="6"/>
  <c r="A676" i="6"/>
  <c r="Q675" i="6"/>
  <c r="J675" i="6"/>
  <c r="K675" i="6" s="1"/>
  <c r="H675" i="6"/>
  <c r="G675" i="6"/>
  <c r="A675" i="6"/>
  <c r="Q674" i="6"/>
  <c r="J674" i="6"/>
  <c r="K674" i="6" s="1"/>
  <c r="H674" i="6"/>
  <c r="G674" i="6"/>
  <c r="A674" i="6"/>
  <c r="Q673" i="6"/>
  <c r="J673" i="6"/>
  <c r="K673" i="6" s="1"/>
  <c r="H673" i="6"/>
  <c r="G673" i="6"/>
  <c r="A673" i="6"/>
  <c r="Q672" i="6"/>
  <c r="J672" i="6"/>
  <c r="K672" i="6" s="1"/>
  <c r="H672" i="6"/>
  <c r="G672" i="6"/>
  <c r="A672" i="6"/>
  <c r="Q671" i="6"/>
  <c r="J671" i="6"/>
  <c r="K671" i="6" s="1"/>
  <c r="H671" i="6"/>
  <c r="G671" i="6"/>
  <c r="A671" i="6"/>
  <c r="Q670" i="6"/>
  <c r="J670" i="6"/>
  <c r="K670" i="6" s="1"/>
  <c r="H670" i="6"/>
  <c r="G670" i="6"/>
  <c r="A670" i="6"/>
  <c r="Q669" i="6"/>
  <c r="J669" i="6"/>
  <c r="K669" i="6" s="1"/>
  <c r="H669" i="6"/>
  <c r="G669" i="6"/>
  <c r="A669" i="6"/>
  <c r="Q668" i="6"/>
  <c r="J668" i="6"/>
  <c r="K668" i="6" s="1"/>
  <c r="H668" i="6"/>
  <c r="G668" i="6"/>
  <c r="A668" i="6"/>
  <c r="Q667" i="6"/>
  <c r="J667" i="6"/>
  <c r="K667" i="6" s="1"/>
  <c r="H667" i="6"/>
  <c r="G667" i="6"/>
  <c r="A667" i="6"/>
  <c r="Q666" i="6"/>
  <c r="J666" i="6"/>
  <c r="K666" i="6" s="1"/>
  <c r="H666" i="6"/>
  <c r="G666" i="6"/>
  <c r="A666" i="6"/>
  <c r="Q665" i="6"/>
  <c r="J665" i="6"/>
  <c r="K665" i="6" s="1"/>
  <c r="H665" i="6"/>
  <c r="G665" i="6"/>
  <c r="A665" i="6"/>
  <c r="Q664" i="6"/>
  <c r="J664" i="6"/>
  <c r="K664" i="6" s="1"/>
  <c r="H664" i="6"/>
  <c r="G664" i="6"/>
  <c r="A664" i="6"/>
  <c r="Q663" i="6"/>
  <c r="J663" i="6"/>
  <c r="K663" i="6" s="1"/>
  <c r="H663" i="6"/>
  <c r="G663" i="6"/>
  <c r="A663" i="6"/>
  <c r="Q662" i="6"/>
  <c r="J662" i="6"/>
  <c r="K662" i="6" s="1"/>
  <c r="H662" i="6"/>
  <c r="G662" i="6"/>
  <c r="A662" i="6"/>
  <c r="Q661" i="6"/>
  <c r="J661" i="6"/>
  <c r="K661" i="6" s="1"/>
  <c r="H661" i="6"/>
  <c r="G661" i="6"/>
  <c r="A661" i="6"/>
  <c r="Q660" i="6"/>
  <c r="J660" i="6"/>
  <c r="K660" i="6" s="1"/>
  <c r="H660" i="6"/>
  <c r="G660" i="6"/>
  <c r="A660" i="6"/>
  <c r="Q659" i="6"/>
  <c r="J659" i="6"/>
  <c r="K659" i="6" s="1"/>
  <c r="H659" i="6"/>
  <c r="G659" i="6"/>
  <c r="A659" i="6"/>
  <c r="Q658" i="6"/>
  <c r="J658" i="6"/>
  <c r="K658" i="6" s="1"/>
  <c r="H658" i="6"/>
  <c r="G658" i="6"/>
  <c r="A658" i="6"/>
  <c r="Q657" i="6"/>
  <c r="J657" i="6"/>
  <c r="K657" i="6" s="1"/>
  <c r="H657" i="6"/>
  <c r="G657" i="6"/>
  <c r="A657" i="6"/>
  <c r="Q656" i="6"/>
  <c r="J656" i="6"/>
  <c r="K656" i="6" s="1"/>
  <c r="H656" i="6"/>
  <c r="G656" i="6"/>
  <c r="A656" i="6"/>
  <c r="Q655" i="6"/>
  <c r="J655" i="6"/>
  <c r="K655" i="6" s="1"/>
  <c r="H655" i="6"/>
  <c r="G655" i="6"/>
  <c r="A655" i="6"/>
  <c r="Q654" i="6"/>
  <c r="J654" i="6"/>
  <c r="K654" i="6" s="1"/>
  <c r="H654" i="6"/>
  <c r="G654" i="6"/>
  <c r="A654" i="6"/>
  <c r="Q653" i="6"/>
  <c r="J653" i="6"/>
  <c r="K653" i="6" s="1"/>
  <c r="H653" i="6"/>
  <c r="G653" i="6"/>
  <c r="A653" i="6"/>
  <c r="Q652" i="6"/>
  <c r="J652" i="6"/>
  <c r="K652" i="6" s="1"/>
  <c r="H652" i="6"/>
  <c r="G652" i="6"/>
  <c r="A652" i="6"/>
  <c r="Q651" i="6"/>
  <c r="J651" i="6"/>
  <c r="K651" i="6" s="1"/>
  <c r="H651" i="6"/>
  <c r="G651" i="6"/>
  <c r="A651" i="6"/>
  <c r="Q650" i="6"/>
  <c r="J650" i="6"/>
  <c r="K650" i="6" s="1"/>
  <c r="H650" i="6"/>
  <c r="G650" i="6"/>
  <c r="A650" i="6"/>
  <c r="Q649" i="6"/>
  <c r="J649" i="6"/>
  <c r="K649" i="6" s="1"/>
  <c r="H649" i="6"/>
  <c r="G649" i="6"/>
  <c r="A649" i="6"/>
  <c r="Q648" i="6"/>
  <c r="J648" i="6"/>
  <c r="K648" i="6" s="1"/>
  <c r="H648" i="6"/>
  <c r="G648" i="6"/>
  <c r="A648" i="6"/>
  <c r="Q647" i="6"/>
  <c r="J647" i="6"/>
  <c r="K647" i="6" s="1"/>
  <c r="H647" i="6"/>
  <c r="G647" i="6"/>
  <c r="A647" i="6"/>
  <c r="Q646" i="6"/>
  <c r="J646" i="6"/>
  <c r="K646" i="6" s="1"/>
  <c r="H646" i="6"/>
  <c r="G646" i="6"/>
  <c r="A646" i="6"/>
  <c r="Q645" i="6"/>
  <c r="J645" i="6"/>
  <c r="K645" i="6" s="1"/>
  <c r="H645" i="6"/>
  <c r="G645" i="6"/>
  <c r="A645" i="6"/>
  <c r="Q644" i="6"/>
  <c r="J644" i="6"/>
  <c r="K644" i="6" s="1"/>
  <c r="H644" i="6"/>
  <c r="G644" i="6"/>
  <c r="A644" i="6"/>
  <c r="Q643" i="6"/>
  <c r="J643" i="6"/>
  <c r="K643" i="6" s="1"/>
  <c r="H643" i="6"/>
  <c r="G643" i="6"/>
  <c r="A643" i="6"/>
  <c r="Q642" i="6"/>
  <c r="J642" i="6"/>
  <c r="K642" i="6" s="1"/>
  <c r="H642" i="6"/>
  <c r="G642" i="6"/>
  <c r="A642" i="6"/>
  <c r="Q641" i="6"/>
  <c r="J641" i="6"/>
  <c r="K641" i="6" s="1"/>
  <c r="H641" i="6"/>
  <c r="G641" i="6"/>
  <c r="A641" i="6"/>
  <c r="Q640" i="6"/>
  <c r="J640" i="6"/>
  <c r="K640" i="6" s="1"/>
  <c r="H640" i="6"/>
  <c r="G640" i="6"/>
  <c r="A640" i="6"/>
  <c r="Q639" i="6"/>
  <c r="J639" i="6"/>
  <c r="K639" i="6" s="1"/>
  <c r="H639" i="6"/>
  <c r="G639" i="6"/>
  <c r="A639" i="6"/>
  <c r="Q638" i="6"/>
  <c r="J638" i="6"/>
  <c r="K638" i="6" s="1"/>
  <c r="H638" i="6"/>
  <c r="G638" i="6"/>
  <c r="A638" i="6"/>
  <c r="Q637" i="6"/>
  <c r="J637" i="6"/>
  <c r="K637" i="6" s="1"/>
  <c r="H637" i="6"/>
  <c r="G637" i="6"/>
  <c r="A637" i="6"/>
  <c r="Q636" i="6"/>
  <c r="J636" i="6"/>
  <c r="K636" i="6" s="1"/>
  <c r="H636" i="6"/>
  <c r="G636" i="6"/>
  <c r="A636" i="6"/>
  <c r="Q635" i="6"/>
  <c r="J635" i="6"/>
  <c r="K635" i="6" s="1"/>
  <c r="H635" i="6"/>
  <c r="G635" i="6"/>
  <c r="A635" i="6"/>
  <c r="Q634" i="6"/>
  <c r="J634" i="6"/>
  <c r="K634" i="6" s="1"/>
  <c r="H634" i="6"/>
  <c r="G634" i="6"/>
  <c r="A634" i="6"/>
  <c r="Q633" i="6"/>
  <c r="J633" i="6"/>
  <c r="K633" i="6" s="1"/>
  <c r="H633" i="6"/>
  <c r="G633" i="6"/>
  <c r="A633" i="6"/>
  <c r="Q632" i="6"/>
  <c r="J632" i="6"/>
  <c r="K632" i="6" s="1"/>
  <c r="H632" i="6"/>
  <c r="G632" i="6"/>
  <c r="A632" i="6"/>
  <c r="Q631" i="6"/>
  <c r="J631" i="6"/>
  <c r="K631" i="6" s="1"/>
  <c r="H631" i="6"/>
  <c r="G631" i="6"/>
  <c r="A631" i="6"/>
  <c r="Q630" i="6"/>
  <c r="J630" i="6"/>
  <c r="K630" i="6" s="1"/>
  <c r="H630" i="6"/>
  <c r="G630" i="6"/>
  <c r="A630" i="6"/>
  <c r="Q629" i="6"/>
  <c r="J629" i="6"/>
  <c r="K629" i="6" s="1"/>
  <c r="H629" i="6"/>
  <c r="G629" i="6"/>
  <c r="A629" i="6"/>
  <c r="Q628" i="6"/>
  <c r="J628" i="6"/>
  <c r="K628" i="6" s="1"/>
  <c r="H628" i="6"/>
  <c r="G628" i="6"/>
  <c r="A628" i="6"/>
  <c r="Q627" i="6"/>
  <c r="J627" i="6"/>
  <c r="K627" i="6" s="1"/>
  <c r="H627" i="6"/>
  <c r="G627" i="6"/>
  <c r="A627" i="6"/>
  <c r="Q626" i="6"/>
  <c r="J626" i="6"/>
  <c r="K626" i="6" s="1"/>
  <c r="H626" i="6"/>
  <c r="G626" i="6"/>
  <c r="A626" i="6"/>
  <c r="Q625" i="6"/>
  <c r="J625" i="6"/>
  <c r="K625" i="6" s="1"/>
  <c r="H625" i="6"/>
  <c r="G625" i="6"/>
  <c r="A625" i="6"/>
  <c r="Q624" i="6"/>
  <c r="J624" i="6"/>
  <c r="K624" i="6" s="1"/>
  <c r="H624" i="6"/>
  <c r="G624" i="6"/>
  <c r="A624" i="6"/>
  <c r="Q623" i="6"/>
  <c r="J623" i="6"/>
  <c r="K623" i="6" s="1"/>
  <c r="H623" i="6"/>
  <c r="G623" i="6"/>
  <c r="A623" i="6"/>
  <c r="Q622" i="6"/>
  <c r="J622" i="6"/>
  <c r="K622" i="6" s="1"/>
  <c r="H622" i="6"/>
  <c r="G622" i="6"/>
  <c r="A622" i="6"/>
  <c r="Q621" i="6"/>
  <c r="J621" i="6"/>
  <c r="K621" i="6" s="1"/>
  <c r="H621" i="6"/>
  <c r="G621" i="6"/>
  <c r="A621" i="6"/>
  <c r="Q620" i="6"/>
  <c r="J620" i="6"/>
  <c r="K620" i="6" s="1"/>
  <c r="H620" i="6"/>
  <c r="G620" i="6"/>
  <c r="A620" i="6"/>
  <c r="Q619" i="6"/>
  <c r="J619" i="6"/>
  <c r="K619" i="6" s="1"/>
  <c r="H619" i="6"/>
  <c r="G619" i="6"/>
  <c r="A619" i="6"/>
  <c r="Q618" i="6"/>
  <c r="J618" i="6"/>
  <c r="K618" i="6" s="1"/>
  <c r="H618" i="6"/>
  <c r="G618" i="6"/>
  <c r="A618" i="6"/>
  <c r="Q617" i="6"/>
  <c r="J617" i="6"/>
  <c r="K617" i="6" s="1"/>
  <c r="H617" i="6"/>
  <c r="G617" i="6"/>
  <c r="A617" i="6"/>
  <c r="Q616" i="6"/>
  <c r="J616" i="6"/>
  <c r="K616" i="6" s="1"/>
  <c r="H616" i="6"/>
  <c r="G616" i="6"/>
  <c r="A616" i="6"/>
  <c r="Q615" i="6"/>
  <c r="J615" i="6"/>
  <c r="K615" i="6" s="1"/>
  <c r="H615" i="6"/>
  <c r="G615" i="6"/>
  <c r="A615" i="6"/>
  <c r="Q614" i="6"/>
  <c r="J614" i="6"/>
  <c r="K614" i="6" s="1"/>
  <c r="H614" i="6"/>
  <c r="G614" i="6"/>
  <c r="A614" i="6"/>
  <c r="Q613" i="6"/>
  <c r="J613" i="6"/>
  <c r="K613" i="6" s="1"/>
  <c r="H613" i="6"/>
  <c r="G613" i="6"/>
  <c r="A613" i="6"/>
  <c r="Q612" i="6"/>
  <c r="J612" i="6"/>
  <c r="K612" i="6" s="1"/>
  <c r="H612" i="6"/>
  <c r="G612" i="6"/>
  <c r="A612" i="6"/>
  <c r="Q611" i="6"/>
  <c r="J611" i="6"/>
  <c r="K611" i="6" s="1"/>
  <c r="H611" i="6"/>
  <c r="G611" i="6"/>
  <c r="A611" i="6"/>
  <c r="Q610" i="6"/>
  <c r="J610" i="6"/>
  <c r="K610" i="6" s="1"/>
  <c r="H610" i="6"/>
  <c r="G610" i="6"/>
  <c r="A610" i="6"/>
  <c r="Q609" i="6"/>
  <c r="J609" i="6"/>
  <c r="K609" i="6" s="1"/>
  <c r="H609" i="6"/>
  <c r="G609" i="6"/>
  <c r="A609" i="6"/>
  <c r="Q608" i="6"/>
  <c r="J608" i="6"/>
  <c r="K608" i="6" s="1"/>
  <c r="H608" i="6"/>
  <c r="G608" i="6"/>
  <c r="A608" i="6"/>
  <c r="Q607" i="6"/>
  <c r="J607" i="6"/>
  <c r="K607" i="6" s="1"/>
  <c r="H607" i="6"/>
  <c r="G607" i="6"/>
  <c r="A607" i="6"/>
  <c r="Q606" i="6"/>
  <c r="J606" i="6"/>
  <c r="K606" i="6" s="1"/>
  <c r="H606" i="6"/>
  <c r="G606" i="6"/>
  <c r="A606" i="6"/>
  <c r="Q605" i="6"/>
  <c r="J605" i="6"/>
  <c r="K605" i="6" s="1"/>
  <c r="H605" i="6"/>
  <c r="G605" i="6"/>
  <c r="A605" i="6"/>
  <c r="Q604" i="6"/>
  <c r="J604" i="6"/>
  <c r="K604" i="6" s="1"/>
  <c r="H604" i="6"/>
  <c r="G604" i="6"/>
  <c r="A604" i="6"/>
  <c r="Q603" i="6"/>
  <c r="J603" i="6"/>
  <c r="K603" i="6" s="1"/>
  <c r="H603" i="6"/>
  <c r="G603" i="6"/>
  <c r="A603" i="6"/>
  <c r="Q602" i="6"/>
  <c r="J602" i="6"/>
  <c r="K602" i="6" s="1"/>
  <c r="H602" i="6"/>
  <c r="G602" i="6"/>
  <c r="A602" i="6"/>
  <c r="Q601" i="6"/>
  <c r="J601" i="6"/>
  <c r="K601" i="6" s="1"/>
  <c r="H601" i="6"/>
  <c r="G601" i="6"/>
  <c r="A601" i="6"/>
  <c r="Q600" i="6"/>
  <c r="J600" i="6"/>
  <c r="K600" i="6" s="1"/>
  <c r="H600" i="6"/>
  <c r="G600" i="6"/>
  <c r="A600" i="6"/>
  <c r="Q599" i="6"/>
  <c r="J599" i="6"/>
  <c r="K599" i="6" s="1"/>
  <c r="H599" i="6"/>
  <c r="G599" i="6"/>
  <c r="A599" i="6"/>
  <c r="Q598" i="6"/>
  <c r="J598" i="6"/>
  <c r="K598" i="6" s="1"/>
  <c r="H598" i="6"/>
  <c r="G598" i="6"/>
  <c r="A598" i="6"/>
  <c r="Q597" i="6"/>
  <c r="J597" i="6"/>
  <c r="K597" i="6" s="1"/>
  <c r="H597" i="6"/>
  <c r="G597" i="6"/>
  <c r="A597" i="6"/>
  <c r="Q596" i="6"/>
  <c r="J596" i="6"/>
  <c r="K596" i="6" s="1"/>
  <c r="H596" i="6"/>
  <c r="G596" i="6"/>
  <c r="A596" i="6"/>
  <c r="Q595" i="6"/>
  <c r="J595" i="6"/>
  <c r="K595" i="6" s="1"/>
  <c r="H595" i="6"/>
  <c r="G595" i="6"/>
  <c r="A595" i="6"/>
  <c r="Q594" i="6"/>
  <c r="J594" i="6"/>
  <c r="K594" i="6" s="1"/>
  <c r="H594" i="6"/>
  <c r="G594" i="6"/>
  <c r="A594" i="6"/>
  <c r="Q593" i="6"/>
  <c r="J593" i="6"/>
  <c r="K593" i="6" s="1"/>
  <c r="H593" i="6"/>
  <c r="G593" i="6"/>
  <c r="A593" i="6"/>
  <c r="Q592" i="6"/>
  <c r="J592" i="6"/>
  <c r="K592" i="6" s="1"/>
  <c r="H592" i="6"/>
  <c r="G592" i="6"/>
  <c r="A592" i="6"/>
  <c r="Q591" i="6"/>
  <c r="J591" i="6"/>
  <c r="K591" i="6" s="1"/>
  <c r="H591" i="6"/>
  <c r="G591" i="6"/>
  <c r="A591" i="6"/>
  <c r="Q590" i="6"/>
  <c r="J590" i="6"/>
  <c r="K590" i="6" s="1"/>
  <c r="H590" i="6"/>
  <c r="G590" i="6"/>
  <c r="A590" i="6"/>
  <c r="Q589" i="6"/>
  <c r="J589" i="6"/>
  <c r="K589" i="6" s="1"/>
  <c r="H589" i="6"/>
  <c r="G589" i="6"/>
  <c r="A589" i="6"/>
  <c r="Q588" i="6"/>
  <c r="J588" i="6"/>
  <c r="K588" i="6" s="1"/>
  <c r="H588" i="6"/>
  <c r="G588" i="6"/>
  <c r="A588" i="6"/>
  <c r="Q587" i="6"/>
  <c r="J587" i="6"/>
  <c r="K587" i="6" s="1"/>
  <c r="H587" i="6"/>
  <c r="G587" i="6"/>
  <c r="A587" i="6"/>
  <c r="Q586" i="6"/>
  <c r="J586" i="6"/>
  <c r="K586" i="6" s="1"/>
  <c r="H586" i="6"/>
  <c r="G586" i="6"/>
  <c r="A586" i="6"/>
  <c r="Q585" i="6"/>
  <c r="J585" i="6"/>
  <c r="K585" i="6" s="1"/>
  <c r="H585" i="6"/>
  <c r="G585" i="6"/>
  <c r="A585" i="6"/>
  <c r="Q584" i="6"/>
  <c r="J584" i="6"/>
  <c r="K584" i="6" s="1"/>
  <c r="H584" i="6"/>
  <c r="G584" i="6"/>
  <c r="A584" i="6"/>
  <c r="Q583" i="6"/>
  <c r="J583" i="6"/>
  <c r="K583" i="6" s="1"/>
  <c r="H583" i="6"/>
  <c r="G583" i="6"/>
  <c r="A583" i="6"/>
  <c r="Q582" i="6"/>
  <c r="J582" i="6"/>
  <c r="K582" i="6" s="1"/>
  <c r="H582" i="6"/>
  <c r="G582" i="6"/>
  <c r="A582" i="6"/>
  <c r="Q581" i="6"/>
  <c r="J581" i="6"/>
  <c r="K581" i="6" s="1"/>
  <c r="H581" i="6"/>
  <c r="G581" i="6"/>
  <c r="A581" i="6"/>
  <c r="Q580" i="6"/>
  <c r="J580" i="6"/>
  <c r="K580" i="6" s="1"/>
  <c r="H580" i="6"/>
  <c r="G580" i="6"/>
  <c r="A580" i="6"/>
  <c r="Q579" i="6"/>
  <c r="J579" i="6"/>
  <c r="K579" i="6" s="1"/>
  <c r="H579" i="6"/>
  <c r="G579" i="6"/>
  <c r="A579" i="6"/>
  <c r="Q578" i="6"/>
  <c r="J578" i="6"/>
  <c r="K578" i="6" s="1"/>
  <c r="H578" i="6"/>
  <c r="G578" i="6"/>
  <c r="A578" i="6"/>
  <c r="Q577" i="6"/>
  <c r="J577" i="6"/>
  <c r="K577" i="6" s="1"/>
  <c r="H577" i="6"/>
  <c r="G577" i="6"/>
  <c r="A577" i="6"/>
  <c r="Q576" i="6"/>
  <c r="J576" i="6"/>
  <c r="K576" i="6" s="1"/>
  <c r="H576" i="6"/>
  <c r="G576" i="6"/>
  <c r="A576" i="6"/>
  <c r="Q575" i="6"/>
  <c r="J575" i="6"/>
  <c r="K575" i="6" s="1"/>
  <c r="H575" i="6"/>
  <c r="G575" i="6"/>
  <c r="A575" i="6"/>
  <c r="Q574" i="6"/>
  <c r="J574" i="6"/>
  <c r="K574" i="6" s="1"/>
  <c r="H574" i="6"/>
  <c r="G574" i="6"/>
  <c r="A574" i="6"/>
  <c r="Q573" i="6"/>
  <c r="J573" i="6"/>
  <c r="K573" i="6" s="1"/>
  <c r="H573" i="6"/>
  <c r="G573" i="6"/>
  <c r="A573" i="6"/>
  <c r="Q572" i="6"/>
  <c r="J572" i="6"/>
  <c r="K572" i="6" s="1"/>
  <c r="H572" i="6"/>
  <c r="G572" i="6"/>
  <c r="A572" i="6"/>
  <c r="Q571" i="6"/>
  <c r="J571" i="6"/>
  <c r="K571" i="6" s="1"/>
  <c r="H571" i="6"/>
  <c r="G571" i="6"/>
  <c r="A571" i="6"/>
  <c r="Q570" i="6"/>
  <c r="J570" i="6"/>
  <c r="K570" i="6" s="1"/>
  <c r="H570" i="6"/>
  <c r="G570" i="6"/>
  <c r="A570" i="6"/>
  <c r="Q569" i="6"/>
  <c r="J569" i="6"/>
  <c r="K569" i="6" s="1"/>
  <c r="H569" i="6"/>
  <c r="G569" i="6"/>
  <c r="A569" i="6"/>
  <c r="Q568" i="6"/>
  <c r="J568" i="6"/>
  <c r="K568" i="6" s="1"/>
  <c r="H568" i="6"/>
  <c r="G568" i="6"/>
  <c r="A568" i="6"/>
  <c r="Q567" i="6"/>
  <c r="J567" i="6"/>
  <c r="K567" i="6" s="1"/>
  <c r="H567" i="6"/>
  <c r="G567" i="6"/>
  <c r="A567" i="6"/>
  <c r="Q566" i="6"/>
  <c r="J566" i="6"/>
  <c r="K566" i="6" s="1"/>
  <c r="H566" i="6"/>
  <c r="G566" i="6"/>
  <c r="A566" i="6"/>
  <c r="Q565" i="6"/>
  <c r="J565" i="6"/>
  <c r="K565" i="6" s="1"/>
  <c r="H565" i="6"/>
  <c r="G565" i="6"/>
  <c r="A565" i="6"/>
  <c r="Q564" i="6"/>
  <c r="J564" i="6"/>
  <c r="K564" i="6" s="1"/>
  <c r="H564" i="6"/>
  <c r="G564" i="6"/>
  <c r="A564" i="6"/>
  <c r="Q563" i="6"/>
  <c r="J563" i="6"/>
  <c r="K563" i="6" s="1"/>
  <c r="H563" i="6"/>
  <c r="G563" i="6"/>
  <c r="A563" i="6"/>
  <c r="Q562" i="6"/>
  <c r="J562" i="6"/>
  <c r="K562" i="6" s="1"/>
  <c r="H562" i="6"/>
  <c r="G562" i="6"/>
  <c r="A562" i="6"/>
  <c r="Q561" i="6"/>
  <c r="J561" i="6"/>
  <c r="K561" i="6" s="1"/>
  <c r="H561" i="6"/>
  <c r="G561" i="6"/>
  <c r="A561" i="6"/>
  <c r="Q560" i="6"/>
  <c r="J560" i="6"/>
  <c r="K560" i="6" s="1"/>
  <c r="H560" i="6"/>
  <c r="G560" i="6"/>
  <c r="A560" i="6"/>
  <c r="Q559" i="6"/>
  <c r="J559" i="6"/>
  <c r="K559" i="6" s="1"/>
  <c r="H559" i="6"/>
  <c r="G559" i="6"/>
  <c r="A559" i="6"/>
  <c r="Q558" i="6"/>
  <c r="J558" i="6"/>
  <c r="K558" i="6" s="1"/>
  <c r="H558" i="6"/>
  <c r="G558" i="6"/>
  <c r="A558" i="6"/>
  <c r="Q557" i="6"/>
  <c r="J557" i="6"/>
  <c r="K557" i="6" s="1"/>
  <c r="H557" i="6"/>
  <c r="G557" i="6"/>
  <c r="A557" i="6"/>
  <c r="Q556" i="6"/>
  <c r="J556" i="6"/>
  <c r="K556" i="6" s="1"/>
  <c r="H556" i="6"/>
  <c r="G556" i="6"/>
  <c r="A556" i="6"/>
  <c r="Q555" i="6"/>
  <c r="J555" i="6"/>
  <c r="K555" i="6" s="1"/>
  <c r="H555" i="6"/>
  <c r="G555" i="6"/>
  <c r="A555" i="6"/>
  <c r="Q554" i="6"/>
  <c r="J554" i="6"/>
  <c r="K554" i="6" s="1"/>
  <c r="H554" i="6"/>
  <c r="G554" i="6"/>
  <c r="A554" i="6"/>
  <c r="Q553" i="6"/>
  <c r="J553" i="6"/>
  <c r="K553" i="6" s="1"/>
  <c r="H553" i="6"/>
  <c r="G553" i="6"/>
  <c r="A553" i="6"/>
  <c r="Q552" i="6"/>
  <c r="J552" i="6"/>
  <c r="K552" i="6" s="1"/>
  <c r="H552" i="6"/>
  <c r="G552" i="6"/>
  <c r="A552" i="6"/>
  <c r="Q551" i="6"/>
  <c r="J551" i="6"/>
  <c r="K551" i="6" s="1"/>
  <c r="H551" i="6"/>
  <c r="G551" i="6"/>
  <c r="A551" i="6"/>
  <c r="Q550" i="6"/>
  <c r="J550" i="6"/>
  <c r="K550" i="6" s="1"/>
  <c r="H550" i="6"/>
  <c r="G550" i="6"/>
  <c r="A550" i="6"/>
  <c r="Q549" i="6"/>
  <c r="J549" i="6"/>
  <c r="K549" i="6" s="1"/>
  <c r="H549" i="6"/>
  <c r="G549" i="6"/>
  <c r="A549" i="6"/>
  <c r="Q548" i="6"/>
  <c r="J548" i="6"/>
  <c r="K548" i="6" s="1"/>
  <c r="H548" i="6"/>
  <c r="G548" i="6"/>
  <c r="A548" i="6"/>
  <c r="Q547" i="6"/>
  <c r="J547" i="6"/>
  <c r="K547" i="6" s="1"/>
  <c r="H547" i="6"/>
  <c r="G547" i="6"/>
  <c r="A547" i="6"/>
  <c r="Q546" i="6"/>
  <c r="J546" i="6"/>
  <c r="K546" i="6" s="1"/>
  <c r="H546" i="6"/>
  <c r="G546" i="6"/>
  <c r="A546" i="6"/>
  <c r="Q545" i="6"/>
  <c r="J545" i="6"/>
  <c r="K545" i="6" s="1"/>
  <c r="H545" i="6"/>
  <c r="G545" i="6"/>
  <c r="A545" i="6"/>
  <c r="Q544" i="6"/>
  <c r="J544" i="6"/>
  <c r="K544" i="6" s="1"/>
  <c r="H544" i="6"/>
  <c r="G544" i="6"/>
  <c r="A544" i="6"/>
  <c r="Q543" i="6"/>
  <c r="J543" i="6"/>
  <c r="K543" i="6" s="1"/>
  <c r="H543" i="6"/>
  <c r="G543" i="6"/>
  <c r="A543" i="6"/>
  <c r="Q542" i="6"/>
  <c r="J542" i="6"/>
  <c r="K542" i="6" s="1"/>
  <c r="H542" i="6"/>
  <c r="G542" i="6"/>
  <c r="A542" i="6"/>
  <c r="Q541" i="6"/>
  <c r="J541" i="6"/>
  <c r="K541" i="6" s="1"/>
  <c r="H541" i="6"/>
  <c r="G541" i="6"/>
  <c r="A541" i="6"/>
  <c r="Q540" i="6"/>
  <c r="J540" i="6"/>
  <c r="K540" i="6" s="1"/>
  <c r="H540" i="6"/>
  <c r="G540" i="6"/>
  <c r="A540" i="6"/>
  <c r="Q539" i="6"/>
  <c r="J539" i="6"/>
  <c r="K539" i="6" s="1"/>
  <c r="H539" i="6"/>
  <c r="G539" i="6"/>
  <c r="A539" i="6"/>
  <c r="Q538" i="6"/>
  <c r="J538" i="6"/>
  <c r="K538" i="6" s="1"/>
  <c r="H538" i="6"/>
  <c r="G538" i="6"/>
  <c r="A538" i="6"/>
  <c r="Q537" i="6"/>
  <c r="J537" i="6"/>
  <c r="K537" i="6" s="1"/>
  <c r="H537" i="6"/>
  <c r="G537" i="6"/>
  <c r="A537" i="6"/>
  <c r="Q536" i="6"/>
  <c r="J536" i="6"/>
  <c r="K536" i="6" s="1"/>
  <c r="H536" i="6"/>
  <c r="G536" i="6"/>
  <c r="A536" i="6"/>
  <c r="Q535" i="6"/>
  <c r="J535" i="6"/>
  <c r="K535" i="6" s="1"/>
  <c r="H535" i="6"/>
  <c r="G535" i="6"/>
  <c r="A535" i="6"/>
  <c r="Q534" i="6"/>
  <c r="J534" i="6"/>
  <c r="K534" i="6" s="1"/>
  <c r="H534" i="6"/>
  <c r="G534" i="6"/>
  <c r="A534" i="6"/>
  <c r="Q533" i="6"/>
  <c r="J533" i="6"/>
  <c r="K533" i="6" s="1"/>
  <c r="H533" i="6"/>
  <c r="G533" i="6"/>
  <c r="A533" i="6"/>
  <c r="Q532" i="6"/>
  <c r="J532" i="6"/>
  <c r="K532" i="6" s="1"/>
  <c r="H532" i="6"/>
  <c r="G532" i="6"/>
  <c r="A532" i="6"/>
  <c r="Q531" i="6"/>
  <c r="J531" i="6"/>
  <c r="K531" i="6" s="1"/>
  <c r="H531" i="6"/>
  <c r="G531" i="6"/>
  <c r="A531" i="6"/>
  <c r="Q530" i="6"/>
  <c r="J530" i="6"/>
  <c r="K530" i="6" s="1"/>
  <c r="H530" i="6"/>
  <c r="G530" i="6"/>
  <c r="A530" i="6"/>
  <c r="Q529" i="6"/>
  <c r="J529" i="6"/>
  <c r="K529" i="6" s="1"/>
  <c r="H529" i="6"/>
  <c r="G529" i="6"/>
  <c r="A529" i="6"/>
  <c r="Q528" i="6"/>
  <c r="J528" i="6"/>
  <c r="K528" i="6" s="1"/>
  <c r="H528" i="6"/>
  <c r="G528" i="6"/>
  <c r="A528" i="6"/>
  <c r="Q527" i="6"/>
  <c r="J527" i="6"/>
  <c r="K527" i="6" s="1"/>
  <c r="H527" i="6"/>
  <c r="G527" i="6"/>
  <c r="A527" i="6"/>
  <c r="Q526" i="6"/>
  <c r="J526" i="6"/>
  <c r="K526" i="6" s="1"/>
  <c r="H526" i="6"/>
  <c r="G526" i="6"/>
  <c r="A526" i="6"/>
  <c r="Q525" i="6"/>
  <c r="J525" i="6"/>
  <c r="K525" i="6" s="1"/>
  <c r="H525" i="6"/>
  <c r="G525" i="6"/>
  <c r="A525" i="6"/>
  <c r="Q524" i="6"/>
  <c r="J524" i="6"/>
  <c r="K524" i="6" s="1"/>
  <c r="H524" i="6"/>
  <c r="G524" i="6"/>
  <c r="A524" i="6"/>
  <c r="Q523" i="6"/>
  <c r="J523" i="6"/>
  <c r="K523" i="6" s="1"/>
  <c r="H523" i="6"/>
  <c r="G523" i="6"/>
  <c r="A523" i="6"/>
  <c r="Q522" i="6"/>
  <c r="J522" i="6"/>
  <c r="K522" i="6" s="1"/>
  <c r="H522" i="6"/>
  <c r="G522" i="6"/>
  <c r="A522" i="6"/>
  <c r="Q521" i="6"/>
  <c r="J521" i="6"/>
  <c r="K521" i="6" s="1"/>
  <c r="H521" i="6"/>
  <c r="G521" i="6"/>
  <c r="A521" i="6"/>
  <c r="Q520" i="6"/>
  <c r="J520" i="6"/>
  <c r="K520" i="6" s="1"/>
  <c r="H520" i="6"/>
  <c r="G520" i="6"/>
  <c r="A520" i="6"/>
  <c r="Q519" i="6"/>
  <c r="J519" i="6"/>
  <c r="K519" i="6" s="1"/>
  <c r="H519" i="6"/>
  <c r="G519" i="6"/>
  <c r="A519" i="6"/>
  <c r="Q518" i="6"/>
  <c r="J518" i="6"/>
  <c r="K518" i="6" s="1"/>
  <c r="H518" i="6"/>
  <c r="G518" i="6"/>
  <c r="A518" i="6"/>
  <c r="Q517" i="6"/>
  <c r="J517" i="6"/>
  <c r="K517" i="6" s="1"/>
  <c r="H517" i="6"/>
  <c r="G517" i="6"/>
  <c r="A517" i="6"/>
  <c r="Q516" i="6"/>
  <c r="J516" i="6"/>
  <c r="K516" i="6" s="1"/>
  <c r="H516" i="6"/>
  <c r="G516" i="6"/>
  <c r="A516" i="6"/>
  <c r="Q515" i="6"/>
  <c r="J515" i="6"/>
  <c r="K515" i="6" s="1"/>
  <c r="H515" i="6"/>
  <c r="G515" i="6"/>
  <c r="A515" i="6"/>
  <c r="Q514" i="6"/>
  <c r="J514" i="6"/>
  <c r="K514" i="6" s="1"/>
  <c r="H514" i="6"/>
  <c r="G514" i="6"/>
  <c r="A514" i="6"/>
  <c r="Q513" i="6"/>
  <c r="J513" i="6"/>
  <c r="K513" i="6" s="1"/>
  <c r="H513" i="6"/>
  <c r="G513" i="6"/>
  <c r="A513" i="6"/>
  <c r="Q512" i="6"/>
  <c r="J512" i="6"/>
  <c r="K512" i="6" s="1"/>
  <c r="H512" i="6"/>
  <c r="G512" i="6"/>
  <c r="A512" i="6"/>
  <c r="Q511" i="6"/>
  <c r="J511" i="6"/>
  <c r="K511" i="6" s="1"/>
  <c r="H511" i="6"/>
  <c r="G511" i="6"/>
  <c r="A511" i="6"/>
  <c r="Q510" i="6"/>
  <c r="J510" i="6"/>
  <c r="K510" i="6" s="1"/>
  <c r="H510" i="6"/>
  <c r="G510" i="6"/>
  <c r="A510" i="6"/>
  <c r="Q509" i="6"/>
  <c r="J509" i="6"/>
  <c r="K509" i="6" s="1"/>
  <c r="H509" i="6"/>
  <c r="G509" i="6"/>
  <c r="A509" i="6"/>
  <c r="Q508" i="6"/>
  <c r="J508" i="6"/>
  <c r="K508" i="6" s="1"/>
  <c r="H508" i="6"/>
  <c r="G508" i="6"/>
  <c r="A508" i="6"/>
  <c r="Q507" i="6"/>
  <c r="J507" i="6"/>
  <c r="K507" i="6" s="1"/>
  <c r="H507" i="6"/>
  <c r="G507" i="6"/>
  <c r="A507" i="6"/>
  <c r="Q506" i="6"/>
  <c r="J506" i="6"/>
  <c r="K506" i="6" s="1"/>
  <c r="H506" i="6"/>
  <c r="G506" i="6"/>
  <c r="A506" i="6"/>
  <c r="Q505" i="6"/>
  <c r="J505" i="6"/>
  <c r="K505" i="6" s="1"/>
  <c r="H505" i="6"/>
  <c r="G505" i="6"/>
  <c r="A505" i="6"/>
  <c r="Q504" i="6"/>
  <c r="J504" i="6"/>
  <c r="K504" i="6" s="1"/>
  <c r="H504" i="6"/>
  <c r="G504" i="6"/>
  <c r="A504" i="6"/>
  <c r="Q503" i="6"/>
  <c r="J503" i="6"/>
  <c r="K503" i="6" s="1"/>
  <c r="H503" i="6"/>
  <c r="G503" i="6"/>
  <c r="A503" i="6"/>
  <c r="Q502" i="6"/>
  <c r="J502" i="6"/>
  <c r="K502" i="6" s="1"/>
  <c r="H502" i="6"/>
  <c r="G502" i="6"/>
  <c r="A502" i="6"/>
  <c r="Q501" i="6"/>
  <c r="J501" i="6"/>
  <c r="K501" i="6" s="1"/>
  <c r="H501" i="6"/>
  <c r="G501" i="6"/>
  <c r="A501" i="6"/>
  <c r="Q500" i="6"/>
  <c r="J500" i="6"/>
  <c r="K500" i="6" s="1"/>
  <c r="H500" i="6"/>
  <c r="G500" i="6"/>
  <c r="A500" i="6"/>
  <c r="Q499" i="6"/>
  <c r="J499" i="6"/>
  <c r="K499" i="6" s="1"/>
  <c r="H499" i="6"/>
  <c r="G499" i="6"/>
  <c r="A499" i="6"/>
  <c r="Q498" i="6"/>
  <c r="J498" i="6"/>
  <c r="K498" i="6" s="1"/>
  <c r="H498" i="6"/>
  <c r="G498" i="6"/>
  <c r="A498" i="6"/>
  <c r="Q497" i="6"/>
  <c r="J497" i="6"/>
  <c r="K497" i="6" s="1"/>
  <c r="H497" i="6"/>
  <c r="G497" i="6"/>
  <c r="A497" i="6"/>
  <c r="Q496" i="6"/>
  <c r="J496" i="6"/>
  <c r="K496" i="6" s="1"/>
  <c r="H496" i="6"/>
  <c r="G496" i="6"/>
  <c r="A496" i="6"/>
  <c r="Q495" i="6"/>
  <c r="J495" i="6"/>
  <c r="K495" i="6" s="1"/>
  <c r="H495" i="6"/>
  <c r="G495" i="6"/>
  <c r="A495" i="6"/>
  <c r="Q494" i="6"/>
  <c r="J494" i="6"/>
  <c r="K494" i="6" s="1"/>
  <c r="H494" i="6"/>
  <c r="G494" i="6"/>
  <c r="A494" i="6"/>
  <c r="Q493" i="6"/>
  <c r="J493" i="6"/>
  <c r="K493" i="6" s="1"/>
  <c r="H493" i="6"/>
  <c r="G493" i="6"/>
  <c r="A493" i="6"/>
  <c r="Q492" i="6"/>
  <c r="J492" i="6"/>
  <c r="K492" i="6" s="1"/>
  <c r="H492" i="6"/>
  <c r="G492" i="6"/>
  <c r="A492" i="6"/>
  <c r="Q491" i="6"/>
  <c r="J491" i="6"/>
  <c r="K491" i="6" s="1"/>
  <c r="H491" i="6"/>
  <c r="G491" i="6"/>
  <c r="A491" i="6"/>
  <c r="Q490" i="6"/>
  <c r="J490" i="6"/>
  <c r="K490" i="6" s="1"/>
  <c r="H490" i="6"/>
  <c r="G490" i="6"/>
  <c r="A490" i="6"/>
  <c r="Q489" i="6"/>
  <c r="J489" i="6"/>
  <c r="K489" i="6" s="1"/>
  <c r="H489" i="6"/>
  <c r="G489" i="6"/>
  <c r="A489" i="6"/>
  <c r="Q488" i="6"/>
  <c r="J488" i="6"/>
  <c r="K488" i="6" s="1"/>
  <c r="H488" i="6"/>
  <c r="G488" i="6"/>
  <c r="A488" i="6"/>
  <c r="Q487" i="6"/>
  <c r="J487" i="6"/>
  <c r="K487" i="6" s="1"/>
  <c r="H487" i="6"/>
  <c r="G487" i="6"/>
  <c r="A487" i="6"/>
  <c r="Q486" i="6"/>
  <c r="J486" i="6"/>
  <c r="K486" i="6" s="1"/>
  <c r="H486" i="6"/>
  <c r="G486" i="6"/>
  <c r="A486" i="6"/>
  <c r="Q485" i="6"/>
  <c r="J485" i="6"/>
  <c r="K485" i="6" s="1"/>
  <c r="H485" i="6"/>
  <c r="G485" i="6"/>
  <c r="A485" i="6"/>
  <c r="Q484" i="6"/>
  <c r="J484" i="6"/>
  <c r="K484" i="6" s="1"/>
  <c r="H484" i="6"/>
  <c r="G484" i="6"/>
  <c r="A484" i="6"/>
  <c r="Q483" i="6"/>
  <c r="J483" i="6"/>
  <c r="K483" i="6" s="1"/>
  <c r="H483" i="6"/>
  <c r="G483" i="6"/>
  <c r="A483" i="6"/>
  <c r="Q482" i="6"/>
  <c r="J482" i="6"/>
  <c r="K482" i="6" s="1"/>
  <c r="H482" i="6"/>
  <c r="G482" i="6"/>
  <c r="A482" i="6"/>
  <c r="Q481" i="6"/>
  <c r="J481" i="6"/>
  <c r="K481" i="6" s="1"/>
  <c r="H481" i="6"/>
  <c r="G481" i="6"/>
  <c r="A481" i="6"/>
  <c r="Q480" i="6"/>
  <c r="J480" i="6"/>
  <c r="K480" i="6" s="1"/>
  <c r="H480" i="6"/>
  <c r="G480" i="6"/>
  <c r="A480" i="6"/>
  <c r="Q479" i="6"/>
  <c r="J479" i="6"/>
  <c r="K479" i="6" s="1"/>
  <c r="H479" i="6"/>
  <c r="G479" i="6"/>
  <c r="A479" i="6"/>
  <c r="Q478" i="6"/>
  <c r="J478" i="6"/>
  <c r="K478" i="6" s="1"/>
  <c r="H478" i="6"/>
  <c r="G478" i="6"/>
  <c r="A478" i="6"/>
  <c r="Q477" i="6"/>
  <c r="J477" i="6"/>
  <c r="K477" i="6" s="1"/>
  <c r="H477" i="6"/>
  <c r="G477" i="6"/>
  <c r="A477" i="6"/>
  <c r="Q476" i="6"/>
  <c r="J476" i="6"/>
  <c r="K476" i="6" s="1"/>
  <c r="H476" i="6"/>
  <c r="G476" i="6"/>
  <c r="A476" i="6"/>
  <c r="Q475" i="6"/>
  <c r="J475" i="6"/>
  <c r="K475" i="6" s="1"/>
  <c r="H475" i="6"/>
  <c r="G475" i="6"/>
  <c r="A475" i="6"/>
  <c r="Q474" i="6"/>
  <c r="J474" i="6"/>
  <c r="K474" i="6" s="1"/>
  <c r="H474" i="6"/>
  <c r="G474" i="6"/>
  <c r="A474" i="6"/>
  <c r="Q473" i="6"/>
  <c r="J473" i="6"/>
  <c r="K473" i="6" s="1"/>
  <c r="H473" i="6"/>
  <c r="G473" i="6"/>
  <c r="A473" i="6"/>
  <c r="Q472" i="6"/>
  <c r="J472" i="6"/>
  <c r="K472" i="6" s="1"/>
  <c r="H472" i="6"/>
  <c r="G472" i="6"/>
  <c r="A472" i="6"/>
  <c r="Q471" i="6"/>
  <c r="J471" i="6"/>
  <c r="K471" i="6" s="1"/>
  <c r="H471" i="6"/>
  <c r="G471" i="6"/>
  <c r="A471" i="6"/>
  <c r="Q470" i="6"/>
  <c r="J470" i="6"/>
  <c r="K470" i="6" s="1"/>
  <c r="H470" i="6"/>
  <c r="G470" i="6"/>
  <c r="A470" i="6"/>
  <c r="Q469" i="6"/>
  <c r="J469" i="6"/>
  <c r="K469" i="6" s="1"/>
  <c r="H469" i="6"/>
  <c r="G469" i="6"/>
  <c r="A469" i="6"/>
  <c r="Q468" i="6"/>
  <c r="J468" i="6"/>
  <c r="K468" i="6" s="1"/>
  <c r="H468" i="6"/>
  <c r="G468" i="6"/>
  <c r="A468" i="6"/>
  <c r="Q467" i="6"/>
  <c r="J467" i="6"/>
  <c r="K467" i="6" s="1"/>
  <c r="H467" i="6"/>
  <c r="G467" i="6"/>
  <c r="A467" i="6"/>
  <c r="Q466" i="6"/>
  <c r="J466" i="6"/>
  <c r="K466" i="6" s="1"/>
  <c r="H466" i="6"/>
  <c r="G466" i="6"/>
  <c r="A466" i="6"/>
  <c r="Q465" i="6"/>
  <c r="J465" i="6"/>
  <c r="K465" i="6" s="1"/>
  <c r="H465" i="6"/>
  <c r="G465" i="6"/>
  <c r="A465" i="6"/>
  <c r="Q464" i="6"/>
  <c r="J464" i="6"/>
  <c r="K464" i="6" s="1"/>
  <c r="H464" i="6"/>
  <c r="G464" i="6"/>
  <c r="A464" i="6"/>
  <c r="Q463" i="6"/>
  <c r="J463" i="6"/>
  <c r="K463" i="6" s="1"/>
  <c r="H463" i="6"/>
  <c r="G463" i="6"/>
  <c r="A463" i="6"/>
  <c r="Q462" i="6"/>
  <c r="J462" i="6"/>
  <c r="K462" i="6" s="1"/>
  <c r="H462" i="6"/>
  <c r="G462" i="6"/>
  <c r="A462" i="6"/>
  <c r="Q461" i="6"/>
  <c r="J461" i="6"/>
  <c r="K461" i="6" s="1"/>
  <c r="H461" i="6"/>
  <c r="G461" i="6"/>
  <c r="A461" i="6"/>
  <c r="Q460" i="6"/>
  <c r="J460" i="6"/>
  <c r="K460" i="6" s="1"/>
  <c r="H460" i="6"/>
  <c r="G460" i="6"/>
  <c r="A460" i="6"/>
  <c r="Q459" i="6"/>
  <c r="J459" i="6"/>
  <c r="K459" i="6" s="1"/>
  <c r="H459" i="6"/>
  <c r="G459" i="6"/>
  <c r="A459" i="6"/>
  <c r="Q458" i="6"/>
  <c r="J458" i="6"/>
  <c r="K458" i="6" s="1"/>
  <c r="H458" i="6"/>
  <c r="G458" i="6"/>
  <c r="A458" i="6"/>
  <c r="Q457" i="6"/>
  <c r="J457" i="6"/>
  <c r="K457" i="6" s="1"/>
  <c r="H457" i="6"/>
  <c r="G457" i="6"/>
  <c r="A457" i="6"/>
  <c r="Q456" i="6"/>
  <c r="J456" i="6"/>
  <c r="K456" i="6" s="1"/>
  <c r="H456" i="6"/>
  <c r="G456" i="6"/>
  <c r="A456" i="6"/>
  <c r="Q455" i="6"/>
  <c r="J455" i="6"/>
  <c r="K455" i="6" s="1"/>
  <c r="H455" i="6"/>
  <c r="G455" i="6"/>
  <c r="A455" i="6"/>
  <c r="Q454" i="6"/>
  <c r="J454" i="6"/>
  <c r="K454" i="6" s="1"/>
  <c r="H454" i="6"/>
  <c r="G454" i="6"/>
  <c r="A454" i="6"/>
  <c r="Q453" i="6"/>
  <c r="J453" i="6"/>
  <c r="K453" i="6" s="1"/>
  <c r="H453" i="6"/>
  <c r="G453" i="6"/>
  <c r="A453" i="6"/>
  <c r="Q452" i="6"/>
  <c r="J452" i="6"/>
  <c r="K452" i="6" s="1"/>
  <c r="H452" i="6"/>
  <c r="G452" i="6"/>
  <c r="A452" i="6"/>
  <c r="Q451" i="6"/>
  <c r="J451" i="6"/>
  <c r="K451" i="6" s="1"/>
  <c r="H451" i="6"/>
  <c r="G451" i="6"/>
  <c r="A451" i="6"/>
  <c r="Q450" i="6"/>
  <c r="J450" i="6"/>
  <c r="K450" i="6" s="1"/>
  <c r="H450" i="6"/>
  <c r="G450" i="6"/>
  <c r="A450" i="6"/>
  <c r="Q449" i="6"/>
  <c r="J449" i="6"/>
  <c r="K449" i="6" s="1"/>
  <c r="H449" i="6"/>
  <c r="G449" i="6"/>
  <c r="A449" i="6"/>
  <c r="Q448" i="6"/>
  <c r="J448" i="6"/>
  <c r="K448" i="6" s="1"/>
  <c r="H448" i="6"/>
  <c r="G448" i="6"/>
  <c r="A448" i="6"/>
  <c r="Q447" i="6"/>
  <c r="J447" i="6"/>
  <c r="K447" i="6" s="1"/>
  <c r="H447" i="6"/>
  <c r="G447" i="6"/>
  <c r="A447" i="6"/>
  <c r="Q446" i="6"/>
  <c r="J446" i="6"/>
  <c r="K446" i="6" s="1"/>
  <c r="H446" i="6"/>
  <c r="G446" i="6"/>
  <c r="A446" i="6"/>
  <c r="Q445" i="6"/>
  <c r="J445" i="6"/>
  <c r="K445" i="6" s="1"/>
  <c r="H445" i="6"/>
  <c r="G445" i="6"/>
  <c r="A445" i="6"/>
  <c r="Q444" i="6"/>
  <c r="J444" i="6"/>
  <c r="K444" i="6" s="1"/>
  <c r="H444" i="6"/>
  <c r="G444" i="6"/>
  <c r="A444" i="6"/>
  <c r="Q443" i="6"/>
  <c r="J443" i="6"/>
  <c r="K443" i="6" s="1"/>
  <c r="H443" i="6"/>
  <c r="G443" i="6"/>
  <c r="A443" i="6"/>
  <c r="Q442" i="6"/>
  <c r="J442" i="6"/>
  <c r="K442" i="6" s="1"/>
  <c r="H442" i="6"/>
  <c r="G442" i="6"/>
  <c r="A442" i="6"/>
  <c r="Q441" i="6"/>
  <c r="J441" i="6"/>
  <c r="K441" i="6" s="1"/>
  <c r="H441" i="6"/>
  <c r="G441" i="6"/>
  <c r="A441" i="6"/>
  <c r="Q440" i="6"/>
  <c r="J440" i="6"/>
  <c r="K440" i="6" s="1"/>
  <c r="H440" i="6"/>
  <c r="G440" i="6"/>
  <c r="A440" i="6"/>
  <c r="Q439" i="6"/>
  <c r="J439" i="6"/>
  <c r="K439" i="6" s="1"/>
  <c r="H439" i="6"/>
  <c r="G439" i="6"/>
  <c r="A439" i="6"/>
  <c r="Q438" i="6"/>
  <c r="J438" i="6"/>
  <c r="K438" i="6" s="1"/>
  <c r="H438" i="6"/>
  <c r="G438" i="6"/>
  <c r="A438" i="6"/>
  <c r="Q437" i="6"/>
  <c r="J437" i="6"/>
  <c r="K437" i="6" s="1"/>
  <c r="H437" i="6"/>
  <c r="G437" i="6"/>
  <c r="A437" i="6"/>
  <c r="Q436" i="6"/>
  <c r="J436" i="6"/>
  <c r="K436" i="6" s="1"/>
  <c r="H436" i="6"/>
  <c r="G436" i="6"/>
  <c r="A436" i="6"/>
  <c r="Q435" i="6"/>
  <c r="J435" i="6"/>
  <c r="K435" i="6" s="1"/>
  <c r="H435" i="6"/>
  <c r="G435" i="6"/>
  <c r="A435" i="6"/>
  <c r="Q434" i="6"/>
  <c r="J434" i="6"/>
  <c r="K434" i="6" s="1"/>
  <c r="H434" i="6"/>
  <c r="G434" i="6"/>
  <c r="A434" i="6"/>
  <c r="Q433" i="6"/>
  <c r="J433" i="6"/>
  <c r="K433" i="6" s="1"/>
  <c r="H433" i="6"/>
  <c r="G433" i="6"/>
  <c r="A433" i="6"/>
  <c r="Q432" i="6"/>
  <c r="J432" i="6"/>
  <c r="K432" i="6" s="1"/>
  <c r="H432" i="6"/>
  <c r="G432" i="6"/>
  <c r="A432" i="6"/>
  <c r="Q431" i="6"/>
  <c r="J431" i="6"/>
  <c r="K431" i="6" s="1"/>
  <c r="H431" i="6"/>
  <c r="G431" i="6"/>
  <c r="A431" i="6"/>
  <c r="Q430" i="6"/>
  <c r="J430" i="6"/>
  <c r="K430" i="6" s="1"/>
  <c r="H430" i="6"/>
  <c r="G430" i="6"/>
  <c r="A430" i="6"/>
  <c r="Q429" i="6"/>
  <c r="J429" i="6"/>
  <c r="K429" i="6" s="1"/>
  <c r="H429" i="6"/>
  <c r="G429" i="6"/>
  <c r="A429" i="6"/>
  <c r="Q428" i="6"/>
  <c r="J428" i="6"/>
  <c r="K428" i="6" s="1"/>
  <c r="H428" i="6"/>
  <c r="G428" i="6"/>
  <c r="A428" i="6"/>
  <c r="Q427" i="6"/>
  <c r="J427" i="6"/>
  <c r="K427" i="6" s="1"/>
  <c r="H427" i="6"/>
  <c r="G427" i="6"/>
  <c r="A427" i="6"/>
  <c r="Q426" i="6"/>
  <c r="J426" i="6"/>
  <c r="K426" i="6" s="1"/>
  <c r="H426" i="6"/>
  <c r="G426" i="6"/>
  <c r="A426" i="6"/>
  <c r="Q425" i="6"/>
  <c r="J425" i="6"/>
  <c r="K425" i="6" s="1"/>
  <c r="H425" i="6"/>
  <c r="G425" i="6"/>
  <c r="A425" i="6"/>
  <c r="Q424" i="6"/>
  <c r="J424" i="6"/>
  <c r="K424" i="6" s="1"/>
  <c r="H424" i="6"/>
  <c r="G424" i="6"/>
  <c r="A424" i="6"/>
  <c r="Q423" i="6"/>
  <c r="J423" i="6"/>
  <c r="K423" i="6" s="1"/>
  <c r="H423" i="6"/>
  <c r="G423" i="6"/>
  <c r="A423" i="6"/>
  <c r="Q422" i="6"/>
  <c r="J422" i="6"/>
  <c r="K422" i="6" s="1"/>
  <c r="H422" i="6"/>
  <c r="G422" i="6"/>
  <c r="A422" i="6"/>
  <c r="Q421" i="6"/>
  <c r="J421" i="6"/>
  <c r="K421" i="6" s="1"/>
  <c r="H421" i="6"/>
  <c r="G421" i="6"/>
  <c r="A421" i="6"/>
  <c r="Q420" i="6"/>
  <c r="J420" i="6"/>
  <c r="K420" i="6" s="1"/>
  <c r="H420" i="6"/>
  <c r="G420" i="6"/>
  <c r="A420" i="6"/>
  <c r="Q419" i="6"/>
  <c r="J419" i="6"/>
  <c r="K419" i="6" s="1"/>
  <c r="H419" i="6"/>
  <c r="G419" i="6"/>
  <c r="A419" i="6"/>
  <c r="Q418" i="6"/>
  <c r="J418" i="6"/>
  <c r="K418" i="6" s="1"/>
  <c r="H418" i="6"/>
  <c r="G418" i="6"/>
  <c r="A418" i="6"/>
  <c r="Q417" i="6"/>
  <c r="J417" i="6"/>
  <c r="K417" i="6" s="1"/>
  <c r="H417" i="6"/>
  <c r="G417" i="6"/>
  <c r="A417" i="6"/>
  <c r="Q416" i="6"/>
  <c r="J416" i="6"/>
  <c r="K416" i="6" s="1"/>
  <c r="H416" i="6"/>
  <c r="G416" i="6"/>
  <c r="A416" i="6"/>
  <c r="Q415" i="6"/>
  <c r="J415" i="6"/>
  <c r="K415" i="6" s="1"/>
  <c r="H415" i="6"/>
  <c r="G415" i="6"/>
  <c r="A415" i="6"/>
  <c r="Q414" i="6"/>
  <c r="J414" i="6"/>
  <c r="K414" i="6" s="1"/>
  <c r="H414" i="6"/>
  <c r="G414" i="6"/>
  <c r="A414" i="6"/>
  <c r="Q413" i="6"/>
  <c r="J413" i="6"/>
  <c r="K413" i="6" s="1"/>
  <c r="H413" i="6"/>
  <c r="G413" i="6"/>
  <c r="A413" i="6"/>
  <c r="Q412" i="6"/>
  <c r="J412" i="6"/>
  <c r="K412" i="6" s="1"/>
  <c r="H412" i="6"/>
  <c r="G412" i="6"/>
  <c r="A412" i="6"/>
  <c r="Q411" i="6"/>
  <c r="J411" i="6"/>
  <c r="K411" i="6" s="1"/>
  <c r="H411" i="6"/>
  <c r="G411" i="6"/>
  <c r="A411" i="6"/>
  <c r="Q410" i="6"/>
  <c r="J410" i="6"/>
  <c r="K410" i="6" s="1"/>
  <c r="H410" i="6"/>
  <c r="G410" i="6"/>
  <c r="A410" i="6"/>
  <c r="Q409" i="6"/>
  <c r="J409" i="6"/>
  <c r="K409" i="6" s="1"/>
  <c r="H409" i="6"/>
  <c r="G409" i="6"/>
  <c r="A409" i="6"/>
  <c r="Q408" i="6"/>
  <c r="J408" i="6"/>
  <c r="K408" i="6" s="1"/>
  <c r="H408" i="6"/>
  <c r="G408" i="6"/>
  <c r="A408" i="6"/>
  <c r="Q407" i="6"/>
  <c r="J407" i="6"/>
  <c r="K407" i="6" s="1"/>
  <c r="H407" i="6"/>
  <c r="G407" i="6"/>
  <c r="A407" i="6"/>
  <c r="Q406" i="6"/>
  <c r="J406" i="6"/>
  <c r="K406" i="6" s="1"/>
  <c r="H406" i="6"/>
  <c r="G406" i="6"/>
  <c r="A406" i="6"/>
  <c r="Q405" i="6"/>
  <c r="J405" i="6"/>
  <c r="K405" i="6" s="1"/>
  <c r="H405" i="6"/>
  <c r="G405" i="6"/>
  <c r="A405" i="6"/>
  <c r="Q404" i="6"/>
  <c r="I23" i="12" s="1"/>
  <c r="K404" i="6"/>
  <c r="J404" i="6"/>
  <c r="H404" i="6"/>
  <c r="G404" i="6"/>
  <c r="A404" i="6"/>
  <c r="Q403" i="6"/>
  <c r="J403" i="6"/>
  <c r="K403" i="6" s="1"/>
  <c r="H403" i="6"/>
  <c r="G403" i="6"/>
  <c r="A403" i="6"/>
  <c r="Q402" i="6"/>
  <c r="J402" i="6"/>
  <c r="K402" i="6" s="1"/>
  <c r="H402" i="6"/>
  <c r="G402" i="6"/>
  <c r="A402" i="6"/>
  <c r="Q401" i="6"/>
  <c r="J401" i="6"/>
  <c r="K401" i="6" s="1"/>
  <c r="H401" i="6"/>
  <c r="G401" i="6"/>
  <c r="A401" i="6"/>
  <c r="Q400" i="6"/>
  <c r="J400" i="6"/>
  <c r="K400" i="6" s="1"/>
  <c r="H400" i="6"/>
  <c r="G400" i="6"/>
  <c r="A400" i="6"/>
  <c r="Q399" i="6"/>
  <c r="J399" i="6"/>
  <c r="K399" i="6" s="1"/>
  <c r="H399" i="6"/>
  <c r="G399" i="6"/>
  <c r="A399" i="6"/>
  <c r="Q398" i="6"/>
  <c r="J398" i="6"/>
  <c r="K398" i="6" s="1"/>
  <c r="H398" i="6"/>
  <c r="G398" i="6"/>
  <c r="A398" i="6"/>
  <c r="Q397" i="6"/>
  <c r="J397" i="6"/>
  <c r="K397" i="6" s="1"/>
  <c r="H397" i="6"/>
  <c r="G397" i="6"/>
  <c r="A397" i="6"/>
  <c r="Q396" i="6"/>
  <c r="J396" i="6"/>
  <c r="K396" i="6" s="1"/>
  <c r="H396" i="6"/>
  <c r="G396" i="6"/>
  <c r="A396" i="6"/>
  <c r="Q395" i="6"/>
  <c r="J395" i="6"/>
  <c r="K395" i="6" s="1"/>
  <c r="H395" i="6"/>
  <c r="G395" i="6"/>
  <c r="A395" i="6"/>
  <c r="Q394" i="6"/>
  <c r="J394" i="6"/>
  <c r="K394" i="6" s="1"/>
  <c r="H394" i="6"/>
  <c r="G394" i="6"/>
  <c r="A394" i="6"/>
  <c r="Q393" i="6"/>
  <c r="J393" i="6"/>
  <c r="K393" i="6" s="1"/>
  <c r="H393" i="6"/>
  <c r="G393" i="6"/>
  <c r="A393" i="6"/>
  <c r="Q392" i="6"/>
  <c r="J392" i="6"/>
  <c r="K392" i="6" s="1"/>
  <c r="H392" i="6"/>
  <c r="G392" i="6"/>
  <c r="A392" i="6"/>
  <c r="Q391" i="6"/>
  <c r="J391" i="6"/>
  <c r="K391" i="6" s="1"/>
  <c r="H391" i="6"/>
  <c r="G391" i="6"/>
  <c r="A391" i="6"/>
  <c r="Q390" i="6"/>
  <c r="J390" i="6"/>
  <c r="K390" i="6" s="1"/>
  <c r="H390" i="6"/>
  <c r="G390" i="6"/>
  <c r="A390" i="6"/>
  <c r="Q389" i="6"/>
  <c r="J389" i="6"/>
  <c r="K389" i="6" s="1"/>
  <c r="H389" i="6"/>
  <c r="G389" i="6"/>
  <c r="A389" i="6"/>
  <c r="Q388" i="6"/>
  <c r="J388" i="6"/>
  <c r="K388" i="6" s="1"/>
  <c r="H388" i="6"/>
  <c r="G388" i="6"/>
  <c r="A388" i="6"/>
  <c r="Q387" i="6"/>
  <c r="J387" i="6"/>
  <c r="K387" i="6" s="1"/>
  <c r="H387" i="6"/>
  <c r="G387" i="6"/>
  <c r="A387" i="6"/>
  <c r="Q386" i="6"/>
  <c r="J386" i="6"/>
  <c r="K386" i="6" s="1"/>
  <c r="H386" i="6"/>
  <c r="G386" i="6"/>
  <c r="A386" i="6"/>
  <c r="Q385" i="6"/>
  <c r="J385" i="6"/>
  <c r="K385" i="6" s="1"/>
  <c r="H385" i="6"/>
  <c r="G385" i="6"/>
  <c r="A385" i="6"/>
  <c r="Q384" i="6"/>
  <c r="J384" i="6"/>
  <c r="K384" i="6" s="1"/>
  <c r="H384" i="6"/>
  <c r="G384" i="6"/>
  <c r="A384" i="6"/>
  <c r="Q383" i="6"/>
  <c r="J383" i="6"/>
  <c r="K383" i="6" s="1"/>
  <c r="H383" i="6"/>
  <c r="G383" i="6"/>
  <c r="A383" i="6"/>
  <c r="Q382" i="6"/>
  <c r="J382" i="6"/>
  <c r="K382" i="6" s="1"/>
  <c r="H382" i="6"/>
  <c r="G382" i="6"/>
  <c r="A382" i="6"/>
  <c r="Q381" i="6"/>
  <c r="J381" i="6"/>
  <c r="K381" i="6" s="1"/>
  <c r="H381" i="6"/>
  <c r="G381" i="6"/>
  <c r="A381" i="6"/>
  <c r="Q380" i="6"/>
  <c r="J380" i="6"/>
  <c r="K380" i="6" s="1"/>
  <c r="H380" i="6"/>
  <c r="G380" i="6"/>
  <c r="A380" i="6"/>
  <c r="Q379" i="6"/>
  <c r="J379" i="6"/>
  <c r="K379" i="6" s="1"/>
  <c r="H379" i="6"/>
  <c r="G379" i="6"/>
  <c r="A379" i="6"/>
  <c r="Q378" i="6"/>
  <c r="J378" i="6"/>
  <c r="K378" i="6" s="1"/>
  <c r="H378" i="6"/>
  <c r="G378" i="6"/>
  <c r="A378" i="6"/>
  <c r="Q377" i="6"/>
  <c r="J377" i="6"/>
  <c r="K377" i="6" s="1"/>
  <c r="H377" i="6"/>
  <c r="G377" i="6"/>
  <c r="A377" i="6"/>
  <c r="Q376" i="6"/>
  <c r="J376" i="6"/>
  <c r="K376" i="6" s="1"/>
  <c r="H376" i="6"/>
  <c r="G376" i="6"/>
  <c r="A376" i="6"/>
  <c r="Q375" i="6"/>
  <c r="J375" i="6"/>
  <c r="K375" i="6" s="1"/>
  <c r="H375" i="6"/>
  <c r="G375" i="6"/>
  <c r="A375" i="6"/>
  <c r="Q374" i="6"/>
  <c r="J374" i="6"/>
  <c r="K374" i="6" s="1"/>
  <c r="H374" i="6"/>
  <c r="G374" i="6"/>
  <c r="A374" i="6"/>
  <c r="Q373" i="6"/>
  <c r="J373" i="6"/>
  <c r="K373" i="6" s="1"/>
  <c r="H373" i="6"/>
  <c r="G373" i="6"/>
  <c r="A373" i="6"/>
  <c r="Q372" i="6"/>
  <c r="J372" i="6"/>
  <c r="K372" i="6" s="1"/>
  <c r="H372" i="6"/>
  <c r="G372" i="6"/>
  <c r="A372" i="6"/>
  <c r="Q371" i="6"/>
  <c r="J371" i="6"/>
  <c r="K371" i="6" s="1"/>
  <c r="H371" i="6"/>
  <c r="G371" i="6"/>
  <c r="A371" i="6"/>
  <c r="Q370" i="6"/>
  <c r="J370" i="6"/>
  <c r="K370" i="6" s="1"/>
  <c r="H370" i="6"/>
  <c r="G370" i="6"/>
  <c r="A370" i="6"/>
  <c r="Q369" i="6"/>
  <c r="J369" i="6"/>
  <c r="K369" i="6" s="1"/>
  <c r="H369" i="6"/>
  <c r="G369" i="6"/>
  <c r="A369" i="6"/>
  <c r="Q368" i="6"/>
  <c r="J368" i="6"/>
  <c r="K368" i="6" s="1"/>
  <c r="H368" i="6"/>
  <c r="G368" i="6"/>
  <c r="A368" i="6"/>
  <c r="Q367" i="6"/>
  <c r="J367" i="6"/>
  <c r="K367" i="6" s="1"/>
  <c r="H367" i="6"/>
  <c r="G367" i="6"/>
  <c r="A367" i="6"/>
  <c r="Q366" i="6"/>
  <c r="J366" i="6"/>
  <c r="K366" i="6" s="1"/>
  <c r="H366" i="6"/>
  <c r="G366" i="6"/>
  <c r="A366" i="6"/>
  <c r="Q365" i="6"/>
  <c r="J365" i="6"/>
  <c r="K365" i="6" s="1"/>
  <c r="H365" i="6"/>
  <c r="G365" i="6"/>
  <c r="A365" i="6"/>
  <c r="Q364" i="6"/>
  <c r="J364" i="6"/>
  <c r="K364" i="6" s="1"/>
  <c r="H364" i="6"/>
  <c r="G364" i="6"/>
  <c r="A364" i="6"/>
  <c r="Q363" i="6"/>
  <c r="J363" i="6"/>
  <c r="K363" i="6" s="1"/>
  <c r="H363" i="6"/>
  <c r="G363" i="6"/>
  <c r="A363" i="6"/>
  <c r="Q362" i="6"/>
  <c r="J362" i="6"/>
  <c r="K362" i="6" s="1"/>
  <c r="H362" i="6"/>
  <c r="G362" i="6"/>
  <c r="A362" i="6"/>
  <c r="Q361" i="6"/>
  <c r="J361" i="6"/>
  <c r="K361" i="6" s="1"/>
  <c r="H361" i="6"/>
  <c r="G361" i="6"/>
  <c r="A361" i="6"/>
  <c r="Q360" i="6"/>
  <c r="J360" i="6"/>
  <c r="K360" i="6" s="1"/>
  <c r="H360" i="6"/>
  <c r="G360" i="6"/>
  <c r="A360" i="6"/>
  <c r="Q359" i="6"/>
  <c r="J359" i="6"/>
  <c r="K359" i="6" s="1"/>
  <c r="H359" i="6"/>
  <c r="G359" i="6"/>
  <c r="A359" i="6"/>
  <c r="Q358" i="6"/>
  <c r="J358" i="6"/>
  <c r="K358" i="6" s="1"/>
  <c r="H358" i="6"/>
  <c r="G358" i="6"/>
  <c r="A358" i="6"/>
  <c r="Q357" i="6"/>
  <c r="J357" i="6"/>
  <c r="K357" i="6" s="1"/>
  <c r="H357" i="6"/>
  <c r="G357" i="6"/>
  <c r="A357" i="6"/>
  <c r="Q356" i="6"/>
  <c r="J356" i="6"/>
  <c r="K356" i="6" s="1"/>
  <c r="H356" i="6"/>
  <c r="G356" i="6"/>
  <c r="A356" i="6"/>
  <c r="Q355" i="6"/>
  <c r="J355" i="6"/>
  <c r="K355" i="6" s="1"/>
  <c r="H355" i="6"/>
  <c r="G355" i="6"/>
  <c r="A355" i="6"/>
  <c r="Q354" i="6"/>
  <c r="J354" i="6"/>
  <c r="K354" i="6" s="1"/>
  <c r="H354" i="6"/>
  <c r="G354" i="6"/>
  <c r="A354" i="6"/>
  <c r="Q353" i="6"/>
  <c r="J353" i="6"/>
  <c r="K353" i="6" s="1"/>
  <c r="H353" i="6"/>
  <c r="G353" i="6"/>
  <c r="A353" i="6"/>
  <c r="Q352" i="6"/>
  <c r="J352" i="6"/>
  <c r="K352" i="6" s="1"/>
  <c r="H352" i="6"/>
  <c r="G352" i="6"/>
  <c r="A352" i="6"/>
  <c r="Q351" i="6"/>
  <c r="J351" i="6"/>
  <c r="K351" i="6" s="1"/>
  <c r="H351" i="6"/>
  <c r="G351" i="6"/>
  <c r="A351" i="6"/>
  <c r="Q350" i="6"/>
  <c r="J350" i="6"/>
  <c r="K350" i="6" s="1"/>
  <c r="H350" i="6"/>
  <c r="G350" i="6"/>
  <c r="A350" i="6"/>
  <c r="Q349" i="6"/>
  <c r="J349" i="6"/>
  <c r="K349" i="6" s="1"/>
  <c r="H349" i="6"/>
  <c r="G349" i="6"/>
  <c r="A349" i="6"/>
  <c r="Q348" i="6"/>
  <c r="J348" i="6"/>
  <c r="K348" i="6" s="1"/>
  <c r="H348" i="6"/>
  <c r="G348" i="6"/>
  <c r="A348" i="6"/>
  <c r="Q347" i="6"/>
  <c r="J347" i="6"/>
  <c r="K347" i="6" s="1"/>
  <c r="H347" i="6"/>
  <c r="G347" i="6"/>
  <c r="A347" i="6"/>
  <c r="Q346" i="6"/>
  <c r="J346" i="6"/>
  <c r="K346" i="6" s="1"/>
  <c r="H346" i="6"/>
  <c r="G346" i="6"/>
  <c r="A346" i="6"/>
  <c r="Q345" i="6"/>
  <c r="J345" i="6"/>
  <c r="K345" i="6" s="1"/>
  <c r="H345" i="6"/>
  <c r="G345" i="6"/>
  <c r="A345" i="6"/>
  <c r="Q344" i="6"/>
  <c r="J344" i="6"/>
  <c r="K344" i="6" s="1"/>
  <c r="H344" i="6"/>
  <c r="G344" i="6"/>
  <c r="A344" i="6"/>
  <c r="Q343" i="6"/>
  <c r="J343" i="6"/>
  <c r="K343" i="6" s="1"/>
  <c r="H343" i="6"/>
  <c r="G343" i="6"/>
  <c r="A343" i="6"/>
  <c r="Q342" i="6"/>
  <c r="J342" i="6"/>
  <c r="K342" i="6" s="1"/>
  <c r="H342" i="6"/>
  <c r="G342" i="6"/>
  <c r="A342" i="6"/>
  <c r="Q341" i="6"/>
  <c r="J341" i="6"/>
  <c r="K341" i="6" s="1"/>
  <c r="H341" i="6"/>
  <c r="G341" i="6"/>
  <c r="A341" i="6"/>
  <c r="Q340" i="6"/>
  <c r="J340" i="6"/>
  <c r="K340" i="6" s="1"/>
  <c r="H340" i="6"/>
  <c r="G340" i="6"/>
  <c r="A340" i="6"/>
  <c r="Q339" i="6"/>
  <c r="J339" i="6"/>
  <c r="K339" i="6" s="1"/>
  <c r="H339" i="6"/>
  <c r="G339" i="6"/>
  <c r="A339" i="6"/>
  <c r="Q338" i="6"/>
  <c r="J338" i="6"/>
  <c r="K338" i="6" s="1"/>
  <c r="H338" i="6"/>
  <c r="G338" i="6"/>
  <c r="A338" i="6"/>
  <c r="Q337" i="6"/>
  <c r="J337" i="6"/>
  <c r="K337" i="6" s="1"/>
  <c r="H337" i="6"/>
  <c r="G337" i="6"/>
  <c r="A337" i="6"/>
  <c r="Q336" i="6"/>
  <c r="J336" i="6"/>
  <c r="K336" i="6" s="1"/>
  <c r="H336" i="6"/>
  <c r="G336" i="6"/>
  <c r="A336" i="6"/>
  <c r="Q335" i="6"/>
  <c r="J335" i="6"/>
  <c r="K335" i="6" s="1"/>
  <c r="H335" i="6"/>
  <c r="G335" i="6"/>
  <c r="A335" i="6"/>
  <c r="Q334" i="6"/>
  <c r="J334" i="6"/>
  <c r="K334" i="6" s="1"/>
  <c r="H334" i="6"/>
  <c r="G334" i="6"/>
  <c r="A334" i="6"/>
  <c r="Q333" i="6"/>
  <c r="J333" i="6"/>
  <c r="K333" i="6" s="1"/>
  <c r="H333" i="6"/>
  <c r="G333" i="6"/>
  <c r="A333" i="6"/>
  <c r="Q332" i="6"/>
  <c r="J332" i="6"/>
  <c r="K332" i="6" s="1"/>
  <c r="H332" i="6"/>
  <c r="G332" i="6"/>
  <c r="A332" i="6"/>
  <c r="Q331" i="6"/>
  <c r="J331" i="6"/>
  <c r="K331" i="6" s="1"/>
  <c r="H331" i="6"/>
  <c r="G331" i="6"/>
  <c r="A331" i="6"/>
  <c r="Q330" i="6"/>
  <c r="J330" i="6"/>
  <c r="K330" i="6" s="1"/>
  <c r="H330" i="6"/>
  <c r="G330" i="6"/>
  <c r="A330" i="6"/>
  <c r="Q329" i="6"/>
  <c r="J329" i="6"/>
  <c r="K329" i="6" s="1"/>
  <c r="H329" i="6"/>
  <c r="G329" i="6"/>
  <c r="A329" i="6"/>
  <c r="Q328" i="6"/>
  <c r="J328" i="6"/>
  <c r="K328" i="6" s="1"/>
  <c r="H328" i="6"/>
  <c r="G328" i="6"/>
  <c r="A328" i="6"/>
  <c r="Q327" i="6"/>
  <c r="J327" i="6"/>
  <c r="K327" i="6" s="1"/>
  <c r="H327" i="6"/>
  <c r="G327" i="6"/>
  <c r="A327" i="6"/>
  <c r="Q326" i="6"/>
  <c r="J326" i="6"/>
  <c r="K326" i="6" s="1"/>
  <c r="H326" i="6"/>
  <c r="G326" i="6"/>
  <c r="A326" i="6"/>
  <c r="Q325" i="6"/>
  <c r="J325" i="6"/>
  <c r="K325" i="6" s="1"/>
  <c r="H325" i="6"/>
  <c r="G325" i="6"/>
  <c r="A325" i="6"/>
  <c r="Q324" i="6"/>
  <c r="J324" i="6"/>
  <c r="K324" i="6" s="1"/>
  <c r="H324" i="6"/>
  <c r="G324" i="6"/>
  <c r="A324" i="6"/>
  <c r="Q323" i="6"/>
  <c r="J323" i="6"/>
  <c r="K323" i="6" s="1"/>
  <c r="H323" i="6"/>
  <c r="G323" i="6"/>
  <c r="A323" i="6"/>
  <c r="Q322" i="6"/>
  <c r="J322" i="6"/>
  <c r="K322" i="6" s="1"/>
  <c r="H322" i="6"/>
  <c r="G322" i="6"/>
  <c r="A322" i="6"/>
  <c r="Q321" i="6"/>
  <c r="J321" i="6"/>
  <c r="K321" i="6" s="1"/>
  <c r="H321" i="6"/>
  <c r="G321" i="6"/>
  <c r="A321" i="6"/>
  <c r="Q320" i="6"/>
  <c r="J320" i="6"/>
  <c r="K320" i="6" s="1"/>
  <c r="H320" i="6"/>
  <c r="G320" i="6"/>
  <c r="A320" i="6"/>
  <c r="Q319" i="6"/>
  <c r="J319" i="6"/>
  <c r="K319" i="6" s="1"/>
  <c r="H319" i="6"/>
  <c r="G319" i="6"/>
  <c r="A319" i="6"/>
  <c r="Q318" i="6"/>
  <c r="J318" i="6"/>
  <c r="K318" i="6" s="1"/>
  <c r="H318" i="6"/>
  <c r="G318" i="6"/>
  <c r="A318" i="6"/>
  <c r="Q317" i="6"/>
  <c r="J317" i="6"/>
  <c r="K317" i="6" s="1"/>
  <c r="H317" i="6"/>
  <c r="G317" i="6"/>
  <c r="A317" i="6"/>
  <c r="Q316" i="6"/>
  <c r="J316" i="6"/>
  <c r="K316" i="6" s="1"/>
  <c r="H316" i="6"/>
  <c r="G316" i="6"/>
  <c r="A316" i="6"/>
  <c r="Q315" i="6"/>
  <c r="J315" i="6"/>
  <c r="K315" i="6" s="1"/>
  <c r="H315" i="6"/>
  <c r="G315" i="6"/>
  <c r="A315" i="6"/>
  <c r="Q314" i="6"/>
  <c r="J314" i="6"/>
  <c r="K314" i="6" s="1"/>
  <c r="H314" i="6"/>
  <c r="G314" i="6"/>
  <c r="A314" i="6"/>
  <c r="Q313" i="6"/>
  <c r="J313" i="6"/>
  <c r="K313" i="6" s="1"/>
  <c r="H313" i="6"/>
  <c r="G313" i="6"/>
  <c r="A313" i="6"/>
  <c r="Q312" i="6"/>
  <c r="J312" i="6"/>
  <c r="K312" i="6" s="1"/>
  <c r="H312" i="6"/>
  <c r="G312" i="6"/>
  <c r="A312" i="6"/>
  <c r="Q311" i="6"/>
  <c r="J311" i="6"/>
  <c r="K311" i="6" s="1"/>
  <c r="H311" i="6"/>
  <c r="G311" i="6"/>
  <c r="A311" i="6"/>
  <c r="Q310" i="6"/>
  <c r="J310" i="6"/>
  <c r="K310" i="6" s="1"/>
  <c r="H310" i="6"/>
  <c r="G310" i="6"/>
  <c r="A310" i="6"/>
  <c r="Q309" i="6"/>
  <c r="J309" i="6"/>
  <c r="K309" i="6" s="1"/>
  <c r="H309" i="6"/>
  <c r="G309" i="6"/>
  <c r="A309" i="6"/>
  <c r="Q308" i="6"/>
  <c r="J308" i="6"/>
  <c r="K308" i="6" s="1"/>
  <c r="H308" i="6"/>
  <c r="G308" i="6"/>
  <c r="A308" i="6"/>
  <c r="Q307" i="6"/>
  <c r="J307" i="6"/>
  <c r="K307" i="6" s="1"/>
  <c r="H307" i="6"/>
  <c r="G307" i="6"/>
  <c r="A307" i="6"/>
  <c r="Q306" i="6"/>
  <c r="J306" i="6"/>
  <c r="K306" i="6" s="1"/>
  <c r="H306" i="6"/>
  <c r="G306" i="6"/>
  <c r="A306" i="6"/>
  <c r="Q305" i="6"/>
  <c r="J305" i="6"/>
  <c r="K305" i="6" s="1"/>
  <c r="H305" i="6"/>
  <c r="G305" i="6"/>
  <c r="A305" i="6"/>
  <c r="Q304" i="6"/>
  <c r="J304" i="6"/>
  <c r="K304" i="6" s="1"/>
  <c r="H304" i="6"/>
  <c r="G304" i="6"/>
  <c r="A304" i="6"/>
  <c r="Q303" i="6"/>
  <c r="J303" i="6"/>
  <c r="K303" i="6" s="1"/>
  <c r="H303" i="6"/>
  <c r="G303" i="6"/>
  <c r="A303" i="6"/>
  <c r="Q302" i="6"/>
  <c r="J302" i="6"/>
  <c r="K302" i="6" s="1"/>
  <c r="H302" i="6"/>
  <c r="G302" i="6"/>
  <c r="A302" i="6"/>
  <c r="Q301" i="6"/>
  <c r="J301" i="6"/>
  <c r="K301" i="6" s="1"/>
  <c r="H301" i="6"/>
  <c r="G301" i="6"/>
  <c r="A301" i="6"/>
  <c r="Q300" i="6"/>
  <c r="J300" i="6"/>
  <c r="K300" i="6" s="1"/>
  <c r="H300" i="6"/>
  <c r="G300" i="6"/>
  <c r="A300" i="6"/>
  <c r="Q299" i="6"/>
  <c r="J299" i="6"/>
  <c r="K299" i="6" s="1"/>
  <c r="H299" i="6"/>
  <c r="G299" i="6"/>
  <c r="A299" i="6"/>
  <c r="Q298" i="6"/>
  <c r="J298" i="6"/>
  <c r="K298" i="6" s="1"/>
  <c r="H298" i="6"/>
  <c r="G298" i="6"/>
  <c r="A298" i="6"/>
  <c r="Q297" i="6"/>
  <c r="J297" i="6"/>
  <c r="K297" i="6" s="1"/>
  <c r="H297" i="6"/>
  <c r="G297" i="6"/>
  <c r="A297" i="6"/>
  <c r="Q296" i="6"/>
  <c r="J296" i="6"/>
  <c r="K296" i="6" s="1"/>
  <c r="H296" i="6"/>
  <c r="G296" i="6"/>
  <c r="A296" i="6"/>
  <c r="Q295" i="6"/>
  <c r="J295" i="6"/>
  <c r="K295" i="6" s="1"/>
  <c r="H295" i="6"/>
  <c r="G295" i="6"/>
  <c r="A295" i="6"/>
  <c r="Q294" i="6"/>
  <c r="J294" i="6"/>
  <c r="K294" i="6" s="1"/>
  <c r="H294" i="6"/>
  <c r="G294" i="6"/>
  <c r="A294" i="6"/>
  <c r="Q293" i="6"/>
  <c r="J293" i="6"/>
  <c r="K293" i="6" s="1"/>
  <c r="H293" i="6"/>
  <c r="G293" i="6"/>
  <c r="A293" i="6"/>
  <c r="Q292" i="6"/>
  <c r="J292" i="6"/>
  <c r="K292" i="6" s="1"/>
  <c r="H292" i="6"/>
  <c r="G292" i="6"/>
  <c r="A292" i="6"/>
  <c r="Q291" i="6"/>
  <c r="J291" i="6"/>
  <c r="K291" i="6" s="1"/>
  <c r="H291" i="6"/>
  <c r="G291" i="6"/>
  <c r="A291" i="6"/>
  <c r="Q290" i="6"/>
  <c r="J290" i="6"/>
  <c r="K290" i="6" s="1"/>
  <c r="H290" i="6"/>
  <c r="G290" i="6"/>
  <c r="A290" i="6"/>
  <c r="Q289" i="6"/>
  <c r="J289" i="6"/>
  <c r="K289" i="6" s="1"/>
  <c r="H289" i="6"/>
  <c r="G289" i="6"/>
  <c r="A289" i="6"/>
  <c r="Q288" i="6"/>
  <c r="J288" i="6"/>
  <c r="K288" i="6" s="1"/>
  <c r="H288" i="6"/>
  <c r="G288" i="6"/>
  <c r="A288" i="6"/>
  <c r="Q287" i="6"/>
  <c r="J287" i="6"/>
  <c r="K287" i="6" s="1"/>
  <c r="H287" i="6"/>
  <c r="G287" i="6"/>
  <c r="A287" i="6"/>
  <c r="Q286" i="6"/>
  <c r="J286" i="6"/>
  <c r="K286" i="6" s="1"/>
  <c r="H286" i="6"/>
  <c r="G286" i="6"/>
  <c r="A286" i="6"/>
  <c r="Q285" i="6"/>
  <c r="J285" i="6"/>
  <c r="K285" i="6" s="1"/>
  <c r="H285" i="6"/>
  <c r="G285" i="6"/>
  <c r="A285" i="6"/>
  <c r="Q284" i="6"/>
  <c r="J284" i="6"/>
  <c r="K284" i="6" s="1"/>
  <c r="H284" i="6"/>
  <c r="G284" i="6"/>
  <c r="A284" i="6"/>
  <c r="Q283" i="6"/>
  <c r="J283" i="6"/>
  <c r="K283" i="6" s="1"/>
  <c r="H283" i="6"/>
  <c r="G283" i="6"/>
  <c r="A283" i="6"/>
  <c r="Q282" i="6"/>
  <c r="J282" i="6"/>
  <c r="K282" i="6" s="1"/>
  <c r="H282" i="6"/>
  <c r="G282" i="6"/>
  <c r="A282" i="6"/>
  <c r="Q281" i="6"/>
  <c r="J281" i="6"/>
  <c r="K281" i="6" s="1"/>
  <c r="H281" i="6"/>
  <c r="G281" i="6"/>
  <c r="A281" i="6"/>
  <c r="Q280" i="6"/>
  <c r="J280" i="6"/>
  <c r="K280" i="6" s="1"/>
  <c r="H280" i="6"/>
  <c r="G280" i="6"/>
  <c r="A280" i="6"/>
  <c r="Q279" i="6"/>
  <c r="J279" i="6"/>
  <c r="K279" i="6" s="1"/>
  <c r="H279" i="6"/>
  <c r="G279" i="6"/>
  <c r="A279" i="6"/>
  <c r="Q278" i="6"/>
  <c r="J278" i="6"/>
  <c r="K278" i="6" s="1"/>
  <c r="H278" i="6"/>
  <c r="G278" i="6"/>
  <c r="A278" i="6"/>
  <c r="Q277" i="6"/>
  <c r="J277" i="6"/>
  <c r="K277" i="6" s="1"/>
  <c r="H277" i="6"/>
  <c r="G277" i="6"/>
  <c r="A277" i="6"/>
  <c r="Q276" i="6"/>
  <c r="J276" i="6"/>
  <c r="K276" i="6" s="1"/>
  <c r="H276" i="6"/>
  <c r="G276" i="6"/>
  <c r="A276" i="6"/>
  <c r="Q275" i="6"/>
  <c r="J275" i="6"/>
  <c r="K275" i="6" s="1"/>
  <c r="H275" i="6"/>
  <c r="G275" i="6"/>
  <c r="A275" i="6"/>
  <c r="Q274" i="6"/>
  <c r="J274" i="6"/>
  <c r="K274" i="6" s="1"/>
  <c r="H274" i="6"/>
  <c r="G274" i="6"/>
  <c r="A274" i="6"/>
  <c r="Q273" i="6"/>
  <c r="J273" i="6"/>
  <c r="K273" i="6" s="1"/>
  <c r="H273" i="6"/>
  <c r="G273" i="6"/>
  <c r="A273" i="6"/>
  <c r="Q272" i="6"/>
  <c r="J272" i="6"/>
  <c r="K272" i="6" s="1"/>
  <c r="H272" i="6"/>
  <c r="G272" i="6"/>
  <c r="A272" i="6"/>
  <c r="Q271" i="6"/>
  <c r="J271" i="6"/>
  <c r="K271" i="6" s="1"/>
  <c r="H271" i="6"/>
  <c r="G271" i="6"/>
  <c r="A271" i="6"/>
  <c r="Q270" i="6"/>
  <c r="J270" i="6"/>
  <c r="K270" i="6" s="1"/>
  <c r="H270" i="6"/>
  <c r="G270" i="6"/>
  <c r="A270" i="6"/>
  <c r="Q269" i="6"/>
  <c r="J269" i="6"/>
  <c r="K269" i="6" s="1"/>
  <c r="H269" i="6"/>
  <c r="G269" i="6"/>
  <c r="A269" i="6"/>
  <c r="Q268" i="6"/>
  <c r="J268" i="6"/>
  <c r="K268" i="6" s="1"/>
  <c r="H268" i="6"/>
  <c r="G268" i="6"/>
  <c r="A268" i="6"/>
  <c r="Q267" i="6"/>
  <c r="J267" i="6"/>
  <c r="K267" i="6" s="1"/>
  <c r="H267" i="6"/>
  <c r="G267" i="6"/>
  <c r="A267" i="6"/>
  <c r="Q266" i="6"/>
  <c r="J266" i="6"/>
  <c r="K266" i="6" s="1"/>
  <c r="H266" i="6"/>
  <c r="G266" i="6"/>
  <c r="A266" i="6"/>
  <c r="Q265" i="6"/>
  <c r="J265" i="6"/>
  <c r="K265" i="6" s="1"/>
  <c r="H265" i="6"/>
  <c r="G265" i="6"/>
  <c r="A265" i="6"/>
  <c r="Q264" i="6"/>
  <c r="J264" i="6"/>
  <c r="K264" i="6" s="1"/>
  <c r="H264" i="6"/>
  <c r="G264" i="6"/>
  <c r="A264" i="6"/>
  <c r="Q263" i="6"/>
  <c r="J263" i="6"/>
  <c r="K263" i="6" s="1"/>
  <c r="H263" i="6"/>
  <c r="G263" i="6"/>
  <c r="A263" i="6"/>
  <c r="Q262" i="6"/>
  <c r="J262" i="6"/>
  <c r="K262" i="6" s="1"/>
  <c r="H262" i="6"/>
  <c r="G262" i="6"/>
  <c r="A262" i="6"/>
  <c r="Q261" i="6"/>
  <c r="J261" i="6"/>
  <c r="K261" i="6" s="1"/>
  <c r="H261" i="6"/>
  <c r="G261" i="6"/>
  <c r="A261" i="6"/>
  <c r="Q260" i="6"/>
  <c r="J260" i="6"/>
  <c r="K260" i="6" s="1"/>
  <c r="H260" i="6"/>
  <c r="G260" i="6"/>
  <c r="A260" i="6"/>
  <c r="Q259" i="6"/>
  <c r="J259" i="6"/>
  <c r="K259" i="6" s="1"/>
  <c r="H259" i="6"/>
  <c r="G259" i="6"/>
  <c r="A259" i="6"/>
  <c r="Q258" i="6"/>
  <c r="J258" i="6"/>
  <c r="K258" i="6" s="1"/>
  <c r="H258" i="6"/>
  <c r="G258" i="6"/>
  <c r="A258" i="6"/>
  <c r="Q257" i="6"/>
  <c r="J257" i="6"/>
  <c r="K257" i="6" s="1"/>
  <c r="H257" i="6"/>
  <c r="G257" i="6"/>
  <c r="A257" i="6"/>
  <c r="Q256" i="6"/>
  <c r="J256" i="6"/>
  <c r="K256" i="6" s="1"/>
  <c r="H256" i="6"/>
  <c r="G256" i="6"/>
  <c r="A256" i="6"/>
  <c r="Q255" i="6"/>
  <c r="J255" i="6"/>
  <c r="K255" i="6" s="1"/>
  <c r="H255" i="6"/>
  <c r="G255" i="6"/>
  <c r="A255" i="6"/>
  <c r="Q254" i="6"/>
  <c r="J254" i="6"/>
  <c r="K254" i="6" s="1"/>
  <c r="H254" i="6"/>
  <c r="G254" i="6"/>
  <c r="A254" i="6"/>
  <c r="Q253" i="6"/>
  <c r="J253" i="6"/>
  <c r="K253" i="6" s="1"/>
  <c r="H253" i="6"/>
  <c r="G253" i="6"/>
  <c r="A253" i="6"/>
  <c r="Q252" i="6"/>
  <c r="J252" i="6"/>
  <c r="K252" i="6" s="1"/>
  <c r="H252" i="6"/>
  <c r="G252" i="6"/>
  <c r="A252" i="6"/>
  <c r="Q251" i="6"/>
  <c r="J251" i="6"/>
  <c r="K251" i="6" s="1"/>
  <c r="H251" i="6"/>
  <c r="G251" i="6"/>
  <c r="A251" i="6"/>
  <c r="Q250" i="6"/>
  <c r="J250" i="6"/>
  <c r="K250" i="6" s="1"/>
  <c r="H250" i="6"/>
  <c r="G250" i="6"/>
  <c r="A250" i="6"/>
  <c r="Q249" i="6"/>
  <c r="J249" i="6"/>
  <c r="K249" i="6" s="1"/>
  <c r="H249" i="6"/>
  <c r="G249" i="6"/>
  <c r="A249" i="6"/>
  <c r="Q248" i="6"/>
  <c r="J248" i="6"/>
  <c r="K248" i="6" s="1"/>
  <c r="H248" i="6"/>
  <c r="G248" i="6"/>
  <c r="A248" i="6"/>
  <c r="Q247" i="6"/>
  <c r="J247" i="6"/>
  <c r="K247" i="6" s="1"/>
  <c r="H247" i="6"/>
  <c r="G247" i="6"/>
  <c r="A247" i="6"/>
  <c r="Q246" i="6"/>
  <c r="J246" i="6"/>
  <c r="K246" i="6" s="1"/>
  <c r="H246" i="6"/>
  <c r="G246" i="6"/>
  <c r="A246" i="6"/>
  <c r="Q245" i="6"/>
  <c r="J245" i="6"/>
  <c r="K245" i="6" s="1"/>
  <c r="H245" i="6"/>
  <c r="G245" i="6"/>
  <c r="A245" i="6"/>
  <c r="Q244" i="6"/>
  <c r="J244" i="6"/>
  <c r="K244" i="6" s="1"/>
  <c r="H244" i="6"/>
  <c r="G244" i="6"/>
  <c r="A244" i="6"/>
  <c r="Q243" i="6"/>
  <c r="J243" i="6"/>
  <c r="K243" i="6" s="1"/>
  <c r="H243" i="6"/>
  <c r="G243" i="6"/>
  <c r="A243" i="6"/>
  <c r="Q242" i="6"/>
  <c r="J242" i="6"/>
  <c r="K242" i="6" s="1"/>
  <c r="H242" i="6"/>
  <c r="G242" i="6"/>
  <c r="A242" i="6"/>
  <c r="Q241" i="6"/>
  <c r="J241" i="6"/>
  <c r="K241" i="6" s="1"/>
  <c r="H241" i="6"/>
  <c r="G241" i="6"/>
  <c r="A241" i="6"/>
  <c r="Q240" i="6"/>
  <c r="J240" i="6"/>
  <c r="K240" i="6" s="1"/>
  <c r="H240" i="6"/>
  <c r="G240" i="6"/>
  <c r="A240" i="6"/>
  <c r="Q239" i="6"/>
  <c r="J239" i="6"/>
  <c r="K239" i="6" s="1"/>
  <c r="H239" i="6"/>
  <c r="G239" i="6"/>
  <c r="A239" i="6"/>
  <c r="Q238" i="6"/>
  <c r="J238" i="6"/>
  <c r="K238" i="6" s="1"/>
  <c r="H238" i="6"/>
  <c r="G238" i="6"/>
  <c r="A238" i="6"/>
  <c r="Q237" i="6"/>
  <c r="J237" i="6"/>
  <c r="K237" i="6" s="1"/>
  <c r="H237" i="6"/>
  <c r="G237" i="6"/>
  <c r="A237" i="6"/>
  <c r="Q236" i="6"/>
  <c r="J236" i="6"/>
  <c r="K236" i="6" s="1"/>
  <c r="H236" i="6"/>
  <c r="G236" i="6"/>
  <c r="A236" i="6"/>
  <c r="Q235" i="6"/>
  <c r="J235" i="6"/>
  <c r="K235" i="6" s="1"/>
  <c r="H235" i="6"/>
  <c r="G235" i="6"/>
  <c r="A235" i="6"/>
  <c r="Q234" i="6"/>
  <c r="J234" i="6"/>
  <c r="K234" i="6" s="1"/>
  <c r="H234" i="6"/>
  <c r="G234" i="6"/>
  <c r="A234" i="6"/>
  <c r="Q233" i="6"/>
  <c r="J233" i="6"/>
  <c r="K233" i="6" s="1"/>
  <c r="H233" i="6"/>
  <c r="G233" i="6"/>
  <c r="A233" i="6"/>
  <c r="Q232" i="6"/>
  <c r="J232" i="6"/>
  <c r="K232" i="6" s="1"/>
  <c r="H232" i="6"/>
  <c r="G232" i="6"/>
  <c r="A232" i="6"/>
  <c r="Q231" i="6"/>
  <c r="J231" i="6"/>
  <c r="K231" i="6" s="1"/>
  <c r="H231" i="6"/>
  <c r="G231" i="6"/>
  <c r="A231" i="6"/>
  <c r="Q230" i="6"/>
  <c r="J230" i="6"/>
  <c r="K230" i="6" s="1"/>
  <c r="H230" i="6"/>
  <c r="G230" i="6"/>
  <c r="A230" i="6"/>
  <c r="Q229" i="6"/>
  <c r="J229" i="6"/>
  <c r="K229" i="6" s="1"/>
  <c r="H229" i="6"/>
  <c r="G229" i="6"/>
  <c r="A229" i="6"/>
  <c r="Q228" i="6"/>
  <c r="J228" i="6"/>
  <c r="K228" i="6" s="1"/>
  <c r="H228" i="6"/>
  <c r="G228" i="6"/>
  <c r="A228" i="6"/>
  <c r="Q227" i="6"/>
  <c r="J227" i="6"/>
  <c r="K227" i="6" s="1"/>
  <c r="H227" i="6"/>
  <c r="G227" i="6"/>
  <c r="A227" i="6"/>
  <c r="Q226" i="6"/>
  <c r="J226" i="6"/>
  <c r="K226" i="6" s="1"/>
  <c r="H226" i="6"/>
  <c r="G226" i="6"/>
  <c r="A226" i="6"/>
  <c r="Q225" i="6"/>
  <c r="J225" i="6"/>
  <c r="K225" i="6" s="1"/>
  <c r="H225" i="6"/>
  <c r="G225" i="6"/>
  <c r="A225" i="6"/>
  <c r="Q224" i="6"/>
  <c r="J224" i="6"/>
  <c r="K224" i="6" s="1"/>
  <c r="H224" i="6"/>
  <c r="G224" i="6"/>
  <c r="A224" i="6"/>
  <c r="Q223" i="6"/>
  <c r="J223" i="6"/>
  <c r="K223" i="6" s="1"/>
  <c r="H223" i="6"/>
  <c r="G223" i="6"/>
  <c r="A223" i="6"/>
  <c r="Q222" i="6"/>
  <c r="J222" i="6"/>
  <c r="K222" i="6" s="1"/>
  <c r="H222" i="6"/>
  <c r="G222" i="6"/>
  <c r="A222" i="6"/>
  <c r="Q221" i="6"/>
  <c r="J221" i="6"/>
  <c r="K221" i="6" s="1"/>
  <c r="H221" i="6"/>
  <c r="G221" i="6"/>
  <c r="A221" i="6"/>
  <c r="Q220" i="6"/>
  <c r="J220" i="6"/>
  <c r="K220" i="6" s="1"/>
  <c r="H220" i="6"/>
  <c r="G220" i="6"/>
  <c r="A220" i="6"/>
  <c r="Q219" i="6"/>
  <c r="J219" i="6"/>
  <c r="K219" i="6" s="1"/>
  <c r="H219" i="6"/>
  <c r="G219" i="6"/>
  <c r="A219" i="6"/>
  <c r="Q218" i="6"/>
  <c r="J218" i="6"/>
  <c r="K218" i="6" s="1"/>
  <c r="H218" i="6"/>
  <c r="G218" i="6"/>
  <c r="A218" i="6"/>
  <c r="Q217" i="6"/>
  <c r="J217" i="6"/>
  <c r="K217" i="6" s="1"/>
  <c r="H217" i="6"/>
  <c r="G217" i="6"/>
  <c r="A217" i="6"/>
  <c r="Q216" i="6"/>
  <c r="J216" i="6"/>
  <c r="K216" i="6" s="1"/>
  <c r="H216" i="6"/>
  <c r="G216" i="6"/>
  <c r="A216" i="6"/>
  <c r="Q215" i="6"/>
  <c r="J215" i="6"/>
  <c r="K215" i="6" s="1"/>
  <c r="H215" i="6"/>
  <c r="G215" i="6"/>
  <c r="A215" i="6"/>
  <c r="Q214" i="6"/>
  <c r="J214" i="6"/>
  <c r="K214" i="6" s="1"/>
  <c r="H214" i="6"/>
  <c r="G214" i="6"/>
  <c r="A214" i="6"/>
  <c r="Q213" i="6"/>
  <c r="J213" i="6"/>
  <c r="K213" i="6" s="1"/>
  <c r="H213" i="6"/>
  <c r="G213" i="6"/>
  <c r="A213" i="6"/>
  <c r="Q212" i="6"/>
  <c r="J212" i="6"/>
  <c r="K212" i="6" s="1"/>
  <c r="H212" i="6"/>
  <c r="G212" i="6"/>
  <c r="A212" i="6"/>
  <c r="Q211" i="6"/>
  <c r="J211" i="6"/>
  <c r="K211" i="6" s="1"/>
  <c r="H211" i="6"/>
  <c r="G211" i="6"/>
  <c r="A211" i="6"/>
  <c r="Q210" i="6"/>
  <c r="J210" i="6"/>
  <c r="K210" i="6" s="1"/>
  <c r="H210" i="6"/>
  <c r="G210" i="6"/>
  <c r="A210" i="6"/>
  <c r="Q209" i="6"/>
  <c r="J209" i="6"/>
  <c r="K209" i="6" s="1"/>
  <c r="H209" i="6"/>
  <c r="G209" i="6"/>
  <c r="A209" i="6"/>
  <c r="Q208" i="6"/>
  <c r="J208" i="6"/>
  <c r="K208" i="6" s="1"/>
  <c r="H208" i="6"/>
  <c r="G208" i="6"/>
  <c r="A208" i="6"/>
  <c r="Q207" i="6"/>
  <c r="J207" i="6"/>
  <c r="K207" i="6" s="1"/>
  <c r="H207" i="6"/>
  <c r="G207" i="6"/>
  <c r="A207" i="6"/>
  <c r="Q206" i="6"/>
  <c r="J206" i="6"/>
  <c r="K206" i="6" s="1"/>
  <c r="H206" i="6"/>
  <c r="G206" i="6"/>
  <c r="A206" i="6"/>
  <c r="Q205" i="6"/>
  <c r="J205" i="6"/>
  <c r="K205" i="6" s="1"/>
  <c r="H205" i="6"/>
  <c r="G205" i="6"/>
  <c r="A205" i="6"/>
  <c r="Q204" i="6"/>
  <c r="J204" i="6"/>
  <c r="K204" i="6" s="1"/>
  <c r="H204" i="6"/>
  <c r="G204" i="6"/>
  <c r="A204" i="6"/>
  <c r="Q203" i="6"/>
  <c r="J203" i="6"/>
  <c r="K203" i="6" s="1"/>
  <c r="H203" i="6"/>
  <c r="G203" i="6"/>
  <c r="A203" i="6"/>
  <c r="Q202" i="6"/>
  <c r="J202" i="6"/>
  <c r="K202" i="6" s="1"/>
  <c r="H202" i="6"/>
  <c r="G202" i="6"/>
  <c r="A202" i="6"/>
  <c r="Q201" i="6"/>
  <c r="J201" i="6"/>
  <c r="K201" i="6" s="1"/>
  <c r="H201" i="6"/>
  <c r="G201" i="6"/>
  <c r="A201" i="6"/>
  <c r="Q200" i="6"/>
  <c r="J200" i="6"/>
  <c r="K200" i="6" s="1"/>
  <c r="H200" i="6"/>
  <c r="G200" i="6"/>
  <c r="A200" i="6"/>
  <c r="Q199" i="6"/>
  <c r="J199" i="6"/>
  <c r="K199" i="6" s="1"/>
  <c r="H199" i="6"/>
  <c r="G199" i="6"/>
  <c r="A199" i="6"/>
  <c r="Q198" i="6"/>
  <c r="J198" i="6"/>
  <c r="K198" i="6" s="1"/>
  <c r="H198" i="6"/>
  <c r="G198" i="6"/>
  <c r="A198" i="6"/>
  <c r="Q197" i="6"/>
  <c r="J197" i="6"/>
  <c r="K197" i="6" s="1"/>
  <c r="H197" i="6"/>
  <c r="G197" i="6"/>
  <c r="A197" i="6"/>
  <c r="Q196" i="6"/>
  <c r="J196" i="6"/>
  <c r="K196" i="6" s="1"/>
  <c r="H196" i="6"/>
  <c r="G196" i="6"/>
  <c r="A196" i="6"/>
  <c r="Q195" i="6"/>
  <c r="J195" i="6"/>
  <c r="K195" i="6" s="1"/>
  <c r="H195" i="6"/>
  <c r="G195" i="6"/>
  <c r="A195" i="6"/>
  <c r="Q194" i="6"/>
  <c r="J194" i="6"/>
  <c r="K194" i="6" s="1"/>
  <c r="H194" i="6"/>
  <c r="G194" i="6"/>
  <c r="A194" i="6"/>
  <c r="Q193" i="6"/>
  <c r="J193" i="6"/>
  <c r="K193" i="6" s="1"/>
  <c r="H193" i="6"/>
  <c r="G193" i="6"/>
  <c r="A193" i="6"/>
  <c r="Q192" i="6"/>
  <c r="J192" i="6"/>
  <c r="K192" i="6" s="1"/>
  <c r="H192" i="6"/>
  <c r="G192" i="6"/>
  <c r="A192" i="6"/>
  <c r="Q191" i="6"/>
  <c r="J191" i="6"/>
  <c r="K191" i="6" s="1"/>
  <c r="H191" i="6"/>
  <c r="G191" i="6"/>
  <c r="A191" i="6"/>
  <c r="Q190" i="6"/>
  <c r="J190" i="6"/>
  <c r="K190" i="6" s="1"/>
  <c r="H190" i="6"/>
  <c r="G190" i="6"/>
  <c r="A190" i="6"/>
  <c r="Q189" i="6"/>
  <c r="J189" i="6"/>
  <c r="K189" i="6" s="1"/>
  <c r="H189" i="6"/>
  <c r="G189" i="6"/>
  <c r="A189" i="6"/>
  <c r="Q188" i="6"/>
  <c r="J188" i="6"/>
  <c r="K188" i="6" s="1"/>
  <c r="H188" i="6"/>
  <c r="G188" i="6"/>
  <c r="A188" i="6"/>
  <c r="Q187" i="6"/>
  <c r="J187" i="6"/>
  <c r="K187" i="6" s="1"/>
  <c r="H187" i="6"/>
  <c r="G187" i="6"/>
  <c r="A187" i="6"/>
  <c r="Q186" i="6"/>
  <c r="J186" i="6"/>
  <c r="K186" i="6" s="1"/>
  <c r="H186" i="6"/>
  <c r="G186" i="6"/>
  <c r="A186" i="6"/>
  <c r="Q185" i="6"/>
  <c r="J185" i="6"/>
  <c r="K185" i="6" s="1"/>
  <c r="H185" i="6"/>
  <c r="G185" i="6"/>
  <c r="A185" i="6"/>
  <c r="Q184" i="6"/>
  <c r="J184" i="6"/>
  <c r="K184" i="6" s="1"/>
  <c r="H184" i="6"/>
  <c r="G184" i="6"/>
  <c r="A184" i="6"/>
  <c r="Q183" i="6"/>
  <c r="J183" i="6"/>
  <c r="K183" i="6" s="1"/>
  <c r="H183" i="6"/>
  <c r="G183" i="6"/>
  <c r="A183" i="6"/>
  <c r="Q182" i="6"/>
  <c r="J182" i="6"/>
  <c r="K182" i="6" s="1"/>
  <c r="H182" i="6"/>
  <c r="G182" i="6"/>
  <c r="A182" i="6"/>
  <c r="Q181" i="6"/>
  <c r="J181" i="6"/>
  <c r="K181" i="6" s="1"/>
  <c r="H181" i="6"/>
  <c r="G181" i="6"/>
  <c r="A181" i="6"/>
  <c r="Q180" i="6"/>
  <c r="J180" i="6"/>
  <c r="K180" i="6" s="1"/>
  <c r="H180" i="6"/>
  <c r="G180" i="6"/>
  <c r="A180" i="6"/>
  <c r="Q179" i="6"/>
  <c r="J179" i="6"/>
  <c r="K179" i="6" s="1"/>
  <c r="H179" i="6"/>
  <c r="G179" i="6"/>
  <c r="A179" i="6"/>
  <c r="Q178" i="6"/>
  <c r="J178" i="6"/>
  <c r="K178" i="6" s="1"/>
  <c r="H178" i="6"/>
  <c r="G178" i="6"/>
  <c r="A178" i="6"/>
  <c r="Q177" i="6"/>
  <c r="J177" i="6"/>
  <c r="K177" i="6" s="1"/>
  <c r="H177" i="6"/>
  <c r="G177" i="6"/>
  <c r="A177" i="6"/>
  <c r="Q176" i="6"/>
  <c r="J176" i="6"/>
  <c r="K176" i="6" s="1"/>
  <c r="H176" i="6"/>
  <c r="G176" i="6"/>
  <c r="A176" i="6"/>
  <c r="Q175" i="6"/>
  <c r="J175" i="6"/>
  <c r="K175" i="6" s="1"/>
  <c r="H175" i="6"/>
  <c r="G175" i="6"/>
  <c r="A175" i="6"/>
  <c r="Q174" i="6"/>
  <c r="J174" i="6"/>
  <c r="K174" i="6" s="1"/>
  <c r="H174" i="6"/>
  <c r="G174" i="6"/>
  <c r="A174" i="6"/>
  <c r="Q173" i="6"/>
  <c r="J173" i="6"/>
  <c r="K173" i="6" s="1"/>
  <c r="H173" i="6"/>
  <c r="G173" i="6"/>
  <c r="A173" i="6"/>
  <c r="Q172" i="6"/>
  <c r="J172" i="6"/>
  <c r="K172" i="6" s="1"/>
  <c r="H172" i="6"/>
  <c r="G172" i="6"/>
  <c r="A172" i="6"/>
  <c r="Q171" i="6"/>
  <c r="J171" i="6"/>
  <c r="K171" i="6" s="1"/>
  <c r="H171" i="6"/>
  <c r="G171" i="6"/>
  <c r="A171" i="6"/>
  <c r="Q170" i="6"/>
  <c r="J170" i="6"/>
  <c r="K170" i="6" s="1"/>
  <c r="H170" i="6"/>
  <c r="G170" i="6"/>
  <c r="A170" i="6"/>
  <c r="Q169" i="6"/>
  <c r="J169" i="6"/>
  <c r="K169" i="6" s="1"/>
  <c r="H169" i="6"/>
  <c r="G169" i="6"/>
  <c r="A169" i="6"/>
  <c r="Q168" i="6"/>
  <c r="J168" i="6"/>
  <c r="K168" i="6" s="1"/>
  <c r="H168" i="6"/>
  <c r="G168" i="6"/>
  <c r="A168" i="6"/>
  <c r="Q167" i="6"/>
  <c r="J167" i="6"/>
  <c r="K167" i="6" s="1"/>
  <c r="H167" i="6"/>
  <c r="G167" i="6"/>
  <c r="A167" i="6"/>
  <c r="Q166" i="6"/>
  <c r="J166" i="6"/>
  <c r="K166" i="6" s="1"/>
  <c r="H166" i="6"/>
  <c r="G166" i="6"/>
  <c r="A166" i="6"/>
  <c r="Q165" i="6"/>
  <c r="J165" i="6"/>
  <c r="K165" i="6" s="1"/>
  <c r="H165" i="6"/>
  <c r="G165" i="6"/>
  <c r="A165" i="6"/>
  <c r="Q164" i="6"/>
  <c r="J164" i="6"/>
  <c r="K164" i="6" s="1"/>
  <c r="H164" i="6"/>
  <c r="G164" i="6"/>
  <c r="A164" i="6"/>
  <c r="Q163" i="6"/>
  <c r="J163" i="6"/>
  <c r="K163" i="6" s="1"/>
  <c r="H163" i="6"/>
  <c r="G163" i="6"/>
  <c r="A163" i="6"/>
  <c r="Q162" i="6"/>
  <c r="J162" i="6"/>
  <c r="K162" i="6" s="1"/>
  <c r="H162" i="6"/>
  <c r="G162" i="6"/>
  <c r="A162" i="6"/>
  <c r="Q161" i="6"/>
  <c r="J161" i="6"/>
  <c r="K161" i="6" s="1"/>
  <c r="H161" i="6"/>
  <c r="G161" i="6"/>
  <c r="A161" i="6"/>
  <c r="Q160" i="6"/>
  <c r="J160" i="6"/>
  <c r="K160" i="6" s="1"/>
  <c r="H160" i="6"/>
  <c r="G160" i="6"/>
  <c r="A160" i="6"/>
  <c r="Q159" i="6"/>
  <c r="J159" i="6"/>
  <c r="K159" i="6" s="1"/>
  <c r="H159" i="6"/>
  <c r="G159" i="6"/>
  <c r="A159" i="6"/>
  <c r="Q158" i="6"/>
  <c r="J158" i="6"/>
  <c r="K158" i="6" s="1"/>
  <c r="H158" i="6"/>
  <c r="G158" i="6"/>
  <c r="A158" i="6"/>
  <c r="Q157" i="6"/>
  <c r="J157" i="6"/>
  <c r="K157" i="6" s="1"/>
  <c r="H157" i="6"/>
  <c r="G157" i="6"/>
  <c r="A157" i="6"/>
  <c r="Q156" i="6"/>
  <c r="J156" i="6"/>
  <c r="K156" i="6" s="1"/>
  <c r="H156" i="6"/>
  <c r="G156" i="6"/>
  <c r="A156" i="6"/>
  <c r="Q155" i="6"/>
  <c r="J155" i="6"/>
  <c r="K155" i="6" s="1"/>
  <c r="H155" i="6"/>
  <c r="G155" i="6"/>
  <c r="A155" i="6"/>
  <c r="Q154" i="6"/>
  <c r="J154" i="6"/>
  <c r="K154" i="6" s="1"/>
  <c r="H154" i="6"/>
  <c r="G154" i="6"/>
  <c r="A154" i="6"/>
  <c r="Q153" i="6"/>
  <c r="J153" i="6"/>
  <c r="K153" i="6" s="1"/>
  <c r="H153" i="6"/>
  <c r="G153" i="6"/>
  <c r="A153" i="6"/>
  <c r="Q152" i="6"/>
  <c r="J152" i="6"/>
  <c r="K152" i="6" s="1"/>
  <c r="H152" i="6"/>
  <c r="G152" i="6"/>
  <c r="A152" i="6"/>
  <c r="Q151" i="6"/>
  <c r="J151" i="6"/>
  <c r="K151" i="6" s="1"/>
  <c r="H151" i="6"/>
  <c r="G151" i="6"/>
  <c r="A151" i="6"/>
  <c r="Q150" i="6"/>
  <c r="J150" i="6"/>
  <c r="K150" i="6" s="1"/>
  <c r="H150" i="6"/>
  <c r="G150" i="6"/>
  <c r="A150" i="6"/>
  <c r="Q149" i="6"/>
  <c r="J149" i="6"/>
  <c r="K149" i="6" s="1"/>
  <c r="H149" i="6"/>
  <c r="G149" i="6"/>
  <c r="A149" i="6"/>
  <c r="Q148" i="6"/>
  <c r="J148" i="6"/>
  <c r="K148" i="6" s="1"/>
  <c r="H148" i="6"/>
  <c r="G148" i="6"/>
  <c r="A148" i="6"/>
  <c r="Q147" i="6"/>
  <c r="J147" i="6"/>
  <c r="K147" i="6" s="1"/>
  <c r="H147" i="6"/>
  <c r="G147" i="6"/>
  <c r="A147" i="6"/>
  <c r="Q146" i="6"/>
  <c r="J146" i="6"/>
  <c r="K146" i="6" s="1"/>
  <c r="H146" i="6"/>
  <c r="G146" i="6"/>
  <c r="A146" i="6"/>
  <c r="Q145" i="6"/>
  <c r="J145" i="6"/>
  <c r="K145" i="6" s="1"/>
  <c r="H145" i="6"/>
  <c r="G145" i="6"/>
  <c r="A145" i="6"/>
  <c r="Q144" i="6"/>
  <c r="J144" i="6"/>
  <c r="K144" i="6" s="1"/>
  <c r="H144" i="6"/>
  <c r="G144" i="6"/>
  <c r="A144" i="6"/>
  <c r="Q143" i="6"/>
  <c r="J143" i="6"/>
  <c r="K143" i="6" s="1"/>
  <c r="H143" i="6"/>
  <c r="G143" i="6"/>
  <c r="A143" i="6"/>
  <c r="Q142" i="6"/>
  <c r="J142" i="6"/>
  <c r="K142" i="6" s="1"/>
  <c r="H142" i="6"/>
  <c r="G142" i="6"/>
  <c r="A142" i="6"/>
  <c r="Q141" i="6"/>
  <c r="J141" i="6"/>
  <c r="K141" i="6" s="1"/>
  <c r="H141" i="6"/>
  <c r="G141" i="6"/>
  <c r="A141" i="6"/>
  <c r="Q140" i="6"/>
  <c r="J140" i="6"/>
  <c r="K140" i="6" s="1"/>
  <c r="H140" i="6"/>
  <c r="G140" i="6"/>
  <c r="A140" i="6"/>
  <c r="Q139" i="6"/>
  <c r="J139" i="6"/>
  <c r="K139" i="6" s="1"/>
  <c r="H139" i="6"/>
  <c r="G139" i="6"/>
  <c r="A139" i="6"/>
  <c r="Q138" i="6"/>
  <c r="J138" i="6"/>
  <c r="K138" i="6" s="1"/>
  <c r="H138" i="6"/>
  <c r="G138" i="6"/>
  <c r="A138" i="6"/>
  <c r="Q137" i="6"/>
  <c r="J137" i="6"/>
  <c r="K137" i="6" s="1"/>
  <c r="H137" i="6"/>
  <c r="G137" i="6"/>
  <c r="A137" i="6"/>
  <c r="Q136" i="6"/>
  <c r="J136" i="6"/>
  <c r="K136" i="6" s="1"/>
  <c r="H136" i="6"/>
  <c r="G136" i="6"/>
  <c r="A136" i="6"/>
  <c r="Q135" i="6"/>
  <c r="J135" i="6"/>
  <c r="K135" i="6" s="1"/>
  <c r="H135" i="6"/>
  <c r="G135" i="6"/>
  <c r="A135" i="6"/>
  <c r="Q134" i="6"/>
  <c r="J134" i="6"/>
  <c r="K134" i="6" s="1"/>
  <c r="H134" i="6"/>
  <c r="G134" i="6"/>
  <c r="A134" i="6"/>
  <c r="Q133" i="6"/>
  <c r="J133" i="6"/>
  <c r="K133" i="6" s="1"/>
  <c r="H133" i="6"/>
  <c r="G133" i="6"/>
  <c r="A133" i="6"/>
  <c r="Q132" i="6"/>
  <c r="J132" i="6"/>
  <c r="K132" i="6" s="1"/>
  <c r="H132" i="6"/>
  <c r="G132" i="6"/>
  <c r="A132" i="6"/>
  <c r="Q131" i="6"/>
  <c r="J131" i="6"/>
  <c r="K131" i="6" s="1"/>
  <c r="H131" i="6"/>
  <c r="G131" i="6"/>
  <c r="A131" i="6"/>
  <c r="Q130" i="6"/>
  <c r="J130" i="6"/>
  <c r="K130" i="6" s="1"/>
  <c r="H130" i="6"/>
  <c r="G130" i="6"/>
  <c r="A130" i="6"/>
  <c r="Q129" i="6"/>
  <c r="J129" i="6"/>
  <c r="K129" i="6" s="1"/>
  <c r="H129" i="6"/>
  <c r="G129" i="6"/>
  <c r="A129" i="6"/>
  <c r="Q128" i="6"/>
  <c r="J128" i="6"/>
  <c r="K128" i="6" s="1"/>
  <c r="H128" i="6"/>
  <c r="G128" i="6"/>
  <c r="A128" i="6"/>
  <c r="Q127" i="6"/>
  <c r="J127" i="6"/>
  <c r="K127" i="6" s="1"/>
  <c r="H127" i="6"/>
  <c r="G127" i="6"/>
  <c r="A127" i="6"/>
  <c r="Q126" i="6"/>
  <c r="J126" i="6"/>
  <c r="K126" i="6" s="1"/>
  <c r="H126" i="6"/>
  <c r="G126" i="6"/>
  <c r="A126" i="6"/>
  <c r="Q125" i="6"/>
  <c r="J125" i="6"/>
  <c r="K125" i="6" s="1"/>
  <c r="H125" i="6"/>
  <c r="G125" i="6"/>
  <c r="A125" i="6"/>
  <c r="Q124" i="6"/>
  <c r="J124" i="6"/>
  <c r="K124" i="6" s="1"/>
  <c r="H124" i="6"/>
  <c r="G124" i="6"/>
  <c r="A124" i="6"/>
  <c r="Q123" i="6"/>
  <c r="J123" i="6"/>
  <c r="K123" i="6" s="1"/>
  <c r="H123" i="6"/>
  <c r="G123" i="6"/>
  <c r="A123" i="6"/>
  <c r="Q122" i="6"/>
  <c r="J122" i="6"/>
  <c r="K122" i="6" s="1"/>
  <c r="H122" i="6"/>
  <c r="G122" i="6"/>
  <c r="A122" i="6"/>
  <c r="Q121" i="6"/>
  <c r="J121" i="6"/>
  <c r="K121" i="6" s="1"/>
  <c r="H121" i="6"/>
  <c r="G121" i="6"/>
  <c r="A121" i="6"/>
  <c r="Q120" i="6"/>
  <c r="J120" i="6"/>
  <c r="K120" i="6" s="1"/>
  <c r="H120" i="6"/>
  <c r="G120" i="6"/>
  <c r="A120" i="6"/>
  <c r="Q119" i="6"/>
  <c r="J119" i="6"/>
  <c r="K119" i="6" s="1"/>
  <c r="H119" i="6"/>
  <c r="G119" i="6"/>
  <c r="A119" i="6"/>
  <c r="Q118" i="6"/>
  <c r="J118" i="6"/>
  <c r="K118" i="6" s="1"/>
  <c r="H118" i="6"/>
  <c r="G118" i="6"/>
  <c r="A118" i="6"/>
  <c r="Q117" i="6"/>
  <c r="J117" i="6"/>
  <c r="K117" i="6" s="1"/>
  <c r="H117" i="6"/>
  <c r="G117" i="6"/>
  <c r="A117" i="6"/>
  <c r="Q116" i="6"/>
  <c r="J116" i="6"/>
  <c r="K116" i="6" s="1"/>
  <c r="H116" i="6"/>
  <c r="G116" i="6"/>
  <c r="A116" i="6"/>
  <c r="Q115" i="6"/>
  <c r="J115" i="6"/>
  <c r="K115" i="6" s="1"/>
  <c r="H115" i="6"/>
  <c r="G115" i="6"/>
  <c r="A115" i="6"/>
  <c r="Q114" i="6"/>
  <c r="J114" i="6"/>
  <c r="K114" i="6" s="1"/>
  <c r="H114" i="6"/>
  <c r="G114" i="6"/>
  <c r="A114" i="6"/>
  <c r="Q113" i="6"/>
  <c r="J113" i="6"/>
  <c r="K113" i="6" s="1"/>
  <c r="H113" i="6"/>
  <c r="G113" i="6"/>
  <c r="A113" i="6"/>
  <c r="Q112" i="6"/>
  <c r="J112" i="6"/>
  <c r="K112" i="6" s="1"/>
  <c r="H112" i="6"/>
  <c r="G112" i="6"/>
  <c r="A112" i="6"/>
  <c r="Q111" i="6"/>
  <c r="J111" i="6"/>
  <c r="K111" i="6" s="1"/>
  <c r="H111" i="6"/>
  <c r="G111" i="6"/>
  <c r="A111" i="6"/>
  <c r="Q110" i="6"/>
  <c r="J110" i="6"/>
  <c r="K110" i="6" s="1"/>
  <c r="H110" i="6"/>
  <c r="G110" i="6"/>
  <c r="A110" i="6"/>
  <c r="Q109" i="6"/>
  <c r="J109" i="6"/>
  <c r="K109" i="6" s="1"/>
  <c r="H109" i="6"/>
  <c r="G109" i="6"/>
  <c r="A109" i="6"/>
  <c r="Q108" i="6"/>
  <c r="J108" i="6"/>
  <c r="K108" i="6" s="1"/>
  <c r="H108" i="6"/>
  <c r="G108" i="6"/>
  <c r="A108" i="6"/>
  <c r="Q107" i="6"/>
  <c r="J107" i="6"/>
  <c r="K107" i="6" s="1"/>
  <c r="H107" i="6"/>
  <c r="G107" i="6"/>
  <c r="A107" i="6"/>
  <c r="Q106" i="6"/>
  <c r="J106" i="6"/>
  <c r="K106" i="6" s="1"/>
  <c r="H106" i="6"/>
  <c r="G106" i="6"/>
  <c r="A106" i="6"/>
  <c r="Q105" i="6"/>
  <c r="J105" i="6"/>
  <c r="K105" i="6" s="1"/>
  <c r="H105" i="6"/>
  <c r="G105" i="6"/>
  <c r="A105" i="6"/>
  <c r="Q104" i="6"/>
  <c r="J104" i="6"/>
  <c r="K104" i="6" s="1"/>
  <c r="H104" i="6"/>
  <c r="G104" i="6"/>
  <c r="A104" i="6"/>
  <c r="Q103" i="6"/>
  <c r="J103" i="6"/>
  <c r="K103" i="6" s="1"/>
  <c r="H103" i="6"/>
  <c r="G103" i="6"/>
  <c r="A103" i="6"/>
  <c r="Q102" i="6"/>
  <c r="J102" i="6"/>
  <c r="K102" i="6" s="1"/>
  <c r="H102" i="6"/>
  <c r="G102" i="6"/>
  <c r="A102" i="6"/>
  <c r="Q101" i="6"/>
  <c r="J101" i="6"/>
  <c r="K101" i="6" s="1"/>
  <c r="H101" i="6"/>
  <c r="G101" i="6"/>
  <c r="A101" i="6"/>
  <c r="Q100" i="6"/>
  <c r="J100" i="6"/>
  <c r="K100" i="6" s="1"/>
  <c r="H100" i="6"/>
  <c r="G100" i="6"/>
  <c r="A100" i="6"/>
  <c r="Q99" i="6"/>
  <c r="J99" i="6"/>
  <c r="K99" i="6" s="1"/>
  <c r="H99" i="6"/>
  <c r="G99" i="6"/>
  <c r="A99" i="6"/>
  <c r="Q98" i="6"/>
  <c r="J98" i="6"/>
  <c r="K98" i="6" s="1"/>
  <c r="H98" i="6"/>
  <c r="G98" i="6"/>
  <c r="A98" i="6"/>
  <c r="Q97" i="6"/>
  <c r="J97" i="6"/>
  <c r="K97" i="6" s="1"/>
  <c r="H97" i="6"/>
  <c r="G97" i="6"/>
  <c r="A97" i="6"/>
  <c r="Q96" i="6"/>
  <c r="J96" i="6"/>
  <c r="K96" i="6" s="1"/>
  <c r="H96" i="6"/>
  <c r="G96" i="6"/>
  <c r="A96" i="6"/>
  <c r="Q95" i="6"/>
  <c r="J95" i="6"/>
  <c r="K95" i="6" s="1"/>
  <c r="H95" i="6"/>
  <c r="G95" i="6"/>
  <c r="A95" i="6"/>
  <c r="Q94" i="6"/>
  <c r="J94" i="6"/>
  <c r="K94" i="6" s="1"/>
  <c r="H94" i="6"/>
  <c r="G94" i="6"/>
  <c r="A94" i="6"/>
  <c r="Q93" i="6"/>
  <c r="J93" i="6"/>
  <c r="K93" i="6" s="1"/>
  <c r="H93" i="6"/>
  <c r="G93" i="6"/>
  <c r="A93" i="6"/>
  <c r="Q92" i="6"/>
  <c r="J92" i="6"/>
  <c r="K92" i="6" s="1"/>
  <c r="H92" i="6"/>
  <c r="G92" i="6"/>
  <c r="A92" i="6"/>
  <c r="Q91" i="6"/>
  <c r="J91" i="6"/>
  <c r="K91" i="6" s="1"/>
  <c r="H91" i="6"/>
  <c r="G91" i="6"/>
  <c r="A91" i="6"/>
  <c r="Q90" i="6"/>
  <c r="J90" i="6"/>
  <c r="K90" i="6" s="1"/>
  <c r="H90" i="6"/>
  <c r="G90" i="6"/>
  <c r="A90" i="6"/>
  <c r="Q89" i="6"/>
  <c r="J89" i="6"/>
  <c r="K89" i="6" s="1"/>
  <c r="H89" i="6"/>
  <c r="G89" i="6"/>
  <c r="A89" i="6"/>
  <c r="Q88" i="6"/>
  <c r="J88" i="6"/>
  <c r="K88" i="6" s="1"/>
  <c r="H88" i="6"/>
  <c r="G88" i="6"/>
  <c r="A88" i="6"/>
  <c r="Q87" i="6"/>
  <c r="J87" i="6"/>
  <c r="K87" i="6" s="1"/>
  <c r="H87" i="6"/>
  <c r="G87" i="6"/>
  <c r="A87" i="6"/>
  <c r="Q86" i="6"/>
  <c r="J86" i="6"/>
  <c r="K86" i="6" s="1"/>
  <c r="H86" i="6"/>
  <c r="G86" i="6"/>
  <c r="A86" i="6"/>
  <c r="Q85" i="6"/>
  <c r="J85" i="6"/>
  <c r="K85" i="6" s="1"/>
  <c r="H85" i="6"/>
  <c r="G85" i="6"/>
  <c r="A85" i="6"/>
  <c r="Q84" i="6"/>
  <c r="J84" i="6"/>
  <c r="K84" i="6" s="1"/>
  <c r="H84" i="6"/>
  <c r="G84" i="6"/>
  <c r="A84" i="6"/>
  <c r="Q83" i="6"/>
  <c r="J83" i="6"/>
  <c r="K83" i="6" s="1"/>
  <c r="H83" i="6"/>
  <c r="G83" i="6"/>
  <c r="A83" i="6"/>
  <c r="Q82" i="6"/>
  <c r="J82" i="6"/>
  <c r="K82" i="6" s="1"/>
  <c r="H82" i="6"/>
  <c r="G82" i="6"/>
  <c r="A82" i="6"/>
  <c r="Q81" i="6"/>
  <c r="J81" i="6"/>
  <c r="K81" i="6" s="1"/>
  <c r="H81" i="6"/>
  <c r="G81" i="6"/>
  <c r="A81" i="6"/>
  <c r="Q80" i="6"/>
  <c r="J80" i="6"/>
  <c r="K80" i="6" s="1"/>
  <c r="H80" i="6"/>
  <c r="G80" i="6"/>
  <c r="A80" i="6"/>
  <c r="Q79" i="6"/>
  <c r="J79" i="6"/>
  <c r="K79" i="6" s="1"/>
  <c r="H79" i="6"/>
  <c r="G79" i="6"/>
  <c r="A79" i="6"/>
  <c r="Q78" i="6"/>
  <c r="J78" i="6"/>
  <c r="K78" i="6" s="1"/>
  <c r="H78" i="6"/>
  <c r="G78" i="6"/>
  <c r="A78" i="6"/>
  <c r="Q77" i="6"/>
  <c r="J77" i="6"/>
  <c r="K77" i="6" s="1"/>
  <c r="H77" i="6"/>
  <c r="G77" i="6"/>
  <c r="A77" i="6"/>
  <c r="Q76" i="6"/>
  <c r="J76" i="6"/>
  <c r="K76" i="6" s="1"/>
  <c r="H76" i="6"/>
  <c r="G76" i="6"/>
  <c r="A76" i="6"/>
  <c r="Q75" i="6"/>
  <c r="J75" i="6"/>
  <c r="K75" i="6" s="1"/>
  <c r="H75" i="6"/>
  <c r="G75" i="6"/>
  <c r="A75" i="6"/>
  <c r="Q74" i="6"/>
  <c r="J74" i="6"/>
  <c r="K74" i="6" s="1"/>
  <c r="H74" i="6"/>
  <c r="G74" i="6"/>
  <c r="A74" i="6"/>
  <c r="Q73" i="6"/>
  <c r="J73" i="6"/>
  <c r="K73" i="6" s="1"/>
  <c r="H73" i="6"/>
  <c r="G73" i="6"/>
  <c r="A73" i="6"/>
  <c r="Q72" i="6"/>
  <c r="J72" i="6"/>
  <c r="K72" i="6" s="1"/>
  <c r="H72" i="6"/>
  <c r="G72" i="6"/>
  <c r="A72" i="6"/>
  <c r="Q71" i="6"/>
  <c r="J71" i="6"/>
  <c r="K71" i="6" s="1"/>
  <c r="H71" i="6"/>
  <c r="G71" i="6"/>
  <c r="A71" i="6"/>
  <c r="Q70" i="6"/>
  <c r="J70" i="6"/>
  <c r="K70" i="6" s="1"/>
  <c r="H70" i="6"/>
  <c r="G70" i="6"/>
  <c r="A70" i="6"/>
  <c r="Q69" i="6"/>
  <c r="J69" i="6"/>
  <c r="K69" i="6" s="1"/>
  <c r="H69" i="6"/>
  <c r="G69" i="6"/>
  <c r="A69" i="6"/>
  <c r="Q68" i="6"/>
  <c r="J68" i="6"/>
  <c r="K68" i="6" s="1"/>
  <c r="H68" i="6"/>
  <c r="G68" i="6"/>
  <c r="A68" i="6"/>
  <c r="Q67" i="6"/>
  <c r="J67" i="6"/>
  <c r="K67" i="6" s="1"/>
  <c r="H67" i="6"/>
  <c r="G67" i="6"/>
  <c r="A67" i="6"/>
  <c r="Q66" i="6"/>
  <c r="J66" i="6"/>
  <c r="K66" i="6" s="1"/>
  <c r="H66" i="6"/>
  <c r="G66" i="6"/>
  <c r="A66" i="6"/>
  <c r="Q65" i="6"/>
  <c r="J65" i="6"/>
  <c r="K65" i="6" s="1"/>
  <c r="H65" i="6"/>
  <c r="G65" i="6"/>
  <c r="A65" i="6"/>
  <c r="Q64" i="6"/>
  <c r="J64" i="6"/>
  <c r="K64" i="6" s="1"/>
  <c r="H64" i="6"/>
  <c r="G64" i="6"/>
  <c r="A64" i="6"/>
  <c r="Q63" i="6"/>
  <c r="J63" i="6"/>
  <c r="K63" i="6" s="1"/>
  <c r="H63" i="6"/>
  <c r="G63" i="6"/>
  <c r="A63" i="6"/>
  <c r="Q62" i="6"/>
  <c r="J62" i="6"/>
  <c r="K62" i="6" s="1"/>
  <c r="H62" i="6"/>
  <c r="G62" i="6"/>
  <c r="A62" i="6"/>
  <c r="Q61" i="6"/>
  <c r="J61" i="6"/>
  <c r="K61" i="6" s="1"/>
  <c r="H61" i="6"/>
  <c r="G61" i="6"/>
  <c r="A61" i="6"/>
  <c r="Q60" i="6"/>
  <c r="J60" i="6"/>
  <c r="K60" i="6" s="1"/>
  <c r="H60" i="6"/>
  <c r="G60" i="6"/>
  <c r="A60" i="6"/>
  <c r="Q59" i="6"/>
  <c r="J59" i="6"/>
  <c r="K59" i="6" s="1"/>
  <c r="H59" i="6"/>
  <c r="G59" i="6"/>
  <c r="A59" i="6"/>
  <c r="Q58" i="6"/>
  <c r="J58" i="6"/>
  <c r="K58" i="6" s="1"/>
  <c r="H58" i="6"/>
  <c r="G58" i="6"/>
  <c r="A58" i="6"/>
  <c r="Q57" i="6"/>
  <c r="J57" i="6"/>
  <c r="K57" i="6" s="1"/>
  <c r="H57" i="6"/>
  <c r="G57" i="6"/>
  <c r="A57" i="6"/>
  <c r="Q56" i="6"/>
  <c r="J56" i="6"/>
  <c r="K56" i="6" s="1"/>
  <c r="H56" i="6"/>
  <c r="G56" i="6"/>
  <c r="A56" i="6"/>
  <c r="Q55" i="6"/>
  <c r="J55" i="6"/>
  <c r="K55" i="6" s="1"/>
  <c r="H55" i="6"/>
  <c r="G55" i="6"/>
  <c r="A55" i="6"/>
  <c r="Q54" i="6"/>
  <c r="J54" i="6"/>
  <c r="K54" i="6" s="1"/>
  <c r="H54" i="6"/>
  <c r="G54" i="6"/>
  <c r="A54" i="6"/>
  <c r="Q53" i="6"/>
  <c r="J53" i="6"/>
  <c r="K53" i="6" s="1"/>
  <c r="H53" i="6"/>
  <c r="G53" i="6"/>
  <c r="A53" i="6"/>
  <c r="Q52" i="6"/>
  <c r="J52" i="6"/>
  <c r="K52" i="6" s="1"/>
  <c r="H52" i="6"/>
  <c r="G52" i="6"/>
  <c r="A52" i="6"/>
  <c r="Q51" i="6"/>
  <c r="J51" i="6"/>
  <c r="K51" i="6" s="1"/>
  <c r="H51" i="6"/>
  <c r="G51" i="6"/>
  <c r="A51" i="6"/>
  <c r="Q50" i="6"/>
  <c r="J50" i="6"/>
  <c r="K50" i="6" s="1"/>
  <c r="H50" i="6"/>
  <c r="G50" i="6"/>
  <c r="A50" i="6"/>
  <c r="Q49" i="6"/>
  <c r="J49" i="6"/>
  <c r="K49" i="6" s="1"/>
  <c r="H49" i="6"/>
  <c r="G49" i="6"/>
  <c r="A49" i="6"/>
  <c r="Q48" i="6"/>
  <c r="J48" i="6"/>
  <c r="K48" i="6" s="1"/>
  <c r="H48" i="6"/>
  <c r="G48" i="6"/>
  <c r="A48" i="6"/>
  <c r="Q47" i="6"/>
  <c r="J47" i="6"/>
  <c r="K47" i="6" s="1"/>
  <c r="H47" i="6"/>
  <c r="G47" i="6"/>
  <c r="A47" i="6"/>
  <c r="Q46" i="6"/>
  <c r="J46" i="6"/>
  <c r="K46" i="6" s="1"/>
  <c r="H46" i="6"/>
  <c r="G46" i="6"/>
  <c r="A46" i="6"/>
  <c r="Q45" i="6"/>
  <c r="J45" i="6"/>
  <c r="K45" i="6" s="1"/>
  <c r="H45" i="6"/>
  <c r="G45" i="6"/>
  <c r="A45" i="6"/>
  <c r="Q44" i="6"/>
  <c r="J44" i="6"/>
  <c r="K44" i="6" s="1"/>
  <c r="H44" i="6"/>
  <c r="G44" i="6"/>
  <c r="A44" i="6"/>
  <c r="Q43" i="6"/>
  <c r="J43" i="6"/>
  <c r="K43" i="6" s="1"/>
  <c r="H43" i="6"/>
  <c r="G43" i="6"/>
  <c r="A43" i="6"/>
  <c r="Q42" i="6"/>
  <c r="J42" i="6"/>
  <c r="K42" i="6" s="1"/>
  <c r="H42" i="6"/>
  <c r="G42" i="6"/>
  <c r="A42" i="6"/>
  <c r="Q41" i="6"/>
  <c r="J41" i="6"/>
  <c r="K41" i="6" s="1"/>
  <c r="H41" i="6"/>
  <c r="G41" i="6"/>
  <c r="A41" i="6"/>
  <c r="Q40" i="6"/>
  <c r="J40" i="6"/>
  <c r="K40" i="6" s="1"/>
  <c r="H40" i="6"/>
  <c r="G40" i="6"/>
  <c r="A40" i="6"/>
  <c r="Q39" i="6"/>
  <c r="J39" i="6"/>
  <c r="K39" i="6" s="1"/>
  <c r="H39" i="6"/>
  <c r="G39" i="6"/>
  <c r="A39" i="6"/>
  <c r="Q38" i="6"/>
  <c r="J38" i="6"/>
  <c r="K38" i="6" s="1"/>
  <c r="H38" i="6"/>
  <c r="G38" i="6"/>
  <c r="A38" i="6"/>
  <c r="Q37" i="6"/>
  <c r="J37" i="6"/>
  <c r="K37" i="6" s="1"/>
  <c r="H37" i="6"/>
  <c r="G37" i="6"/>
  <c r="A37" i="6"/>
  <c r="Q36" i="6"/>
  <c r="J36" i="6"/>
  <c r="K36" i="6" s="1"/>
  <c r="H36" i="6"/>
  <c r="G36" i="6"/>
  <c r="A36" i="6"/>
  <c r="Q35" i="6"/>
  <c r="J35" i="6"/>
  <c r="K35" i="6" s="1"/>
  <c r="H35" i="6"/>
  <c r="G35" i="6"/>
  <c r="A35" i="6"/>
  <c r="Q34" i="6"/>
  <c r="J34" i="6"/>
  <c r="K34" i="6" s="1"/>
  <c r="H34" i="6"/>
  <c r="G34" i="6"/>
  <c r="A34" i="6"/>
  <c r="Q33" i="6"/>
  <c r="J33" i="6"/>
  <c r="K33" i="6" s="1"/>
  <c r="H33" i="6"/>
  <c r="G33" i="6"/>
  <c r="A33" i="6"/>
  <c r="Q32" i="6"/>
  <c r="J32" i="6"/>
  <c r="K32" i="6" s="1"/>
  <c r="H32" i="6"/>
  <c r="G32" i="6"/>
  <c r="A32" i="6"/>
  <c r="Q31" i="6"/>
  <c r="J31" i="6"/>
  <c r="K31" i="6" s="1"/>
  <c r="H31" i="6"/>
  <c r="G31" i="6"/>
  <c r="A31" i="6"/>
  <c r="Q30" i="6"/>
  <c r="J30" i="6"/>
  <c r="K30" i="6" s="1"/>
  <c r="H30" i="6"/>
  <c r="G30" i="6"/>
  <c r="A30" i="6"/>
  <c r="Q29" i="6"/>
  <c r="J29" i="6"/>
  <c r="K29" i="6" s="1"/>
  <c r="H29" i="6"/>
  <c r="G29" i="6"/>
  <c r="A29" i="6"/>
  <c r="Q28" i="6"/>
  <c r="J28" i="6"/>
  <c r="K28" i="6" s="1"/>
  <c r="H28" i="6"/>
  <c r="G28" i="6"/>
  <c r="A28" i="6"/>
  <c r="Q27" i="6"/>
  <c r="J27" i="6"/>
  <c r="K27" i="6" s="1"/>
  <c r="H27" i="6"/>
  <c r="G27" i="6"/>
  <c r="A27" i="6"/>
  <c r="Q26" i="6"/>
  <c r="J26" i="6"/>
  <c r="K26" i="6" s="1"/>
  <c r="H26" i="6"/>
  <c r="G26" i="6"/>
  <c r="A26" i="6"/>
  <c r="Q25" i="6"/>
  <c r="J25" i="6"/>
  <c r="K25" i="6" s="1"/>
  <c r="H25" i="6"/>
  <c r="G25" i="6"/>
  <c r="A25" i="6"/>
  <c r="Q24" i="6"/>
  <c r="J24" i="6"/>
  <c r="K24" i="6" s="1"/>
  <c r="H24" i="6"/>
  <c r="G24" i="6"/>
  <c r="A24" i="6"/>
  <c r="Q23" i="6"/>
  <c r="J23" i="6"/>
  <c r="K23" i="6" s="1"/>
  <c r="H23" i="6"/>
  <c r="G23" i="6"/>
  <c r="A23" i="6"/>
  <c r="Q22" i="6"/>
  <c r="J22" i="6"/>
  <c r="K22" i="6" s="1"/>
  <c r="H22" i="6"/>
  <c r="G22" i="6"/>
  <c r="A22" i="6"/>
  <c r="Q21" i="6"/>
  <c r="K21" i="6"/>
  <c r="J21" i="6"/>
  <c r="H21" i="6"/>
  <c r="G21" i="6"/>
  <c r="A21" i="6"/>
  <c r="Q20" i="6"/>
  <c r="J20" i="6"/>
  <c r="K20" i="6" s="1"/>
  <c r="H20" i="6"/>
  <c r="G20" i="6"/>
  <c r="A20" i="6"/>
  <c r="Q19" i="6"/>
  <c r="J19" i="6"/>
  <c r="K19" i="6" s="1"/>
  <c r="H19" i="6"/>
  <c r="G19" i="6"/>
  <c r="A19" i="6"/>
  <c r="Q18" i="6"/>
  <c r="J18" i="6"/>
  <c r="K18" i="6" s="1"/>
  <c r="H18" i="6"/>
  <c r="G18" i="6"/>
  <c r="A18" i="6"/>
  <c r="Q17" i="6"/>
  <c r="J17" i="6"/>
  <c r="K17" i="6" s="1"/>
  <c r="H17" i="6"/>
  <c r="G17" i="6"/>
  <c r="A17" i="6"/>
  <c r="Q16" i="6"/>
  <c r="J16" i="6"/>
  <c r="K16" i="6" s="1"/>
  <c r="H16" i="6"/>
  <c r="G16" i="6"/>
  <c r="A16" i="6"/>
  <c r="Q15" i="6"/>
  <c r="J15" i="6"/>
  <c r="K15" i="6" s="1"/>
  <c r="H15" i="6"/>
  <c r="G15" i="6"/>
  <c r="A15" i="6"/>
  <c r="Q14" i="6"/>
  <c r="J14" i="6"/>
  <c r="K14" i="6" s="1"/>
  <c r="H14" i="6"/>
  <c r="G14" i="6"/>
  <c r="A14" i="6"/>
  <c r="Q13" i="6"/>
  <c r="J13" i="6"/>
  <c r="K13" i="6" s="1"/>
  <c r="H13" i="6"/>
  <c r="G13" i="6"/>
  <c r="A13" i="6"/>
  <c r="Q12" i="6"/>
  <c r="J12" i="6"/>
  <c r="K12" i="6" s="1"/>
  <c r="H12" i="6"/>
  <c r="G12" i="6"/>
  <c r="A12" i="6"/>
  <c r="Q11" i="6"/>
  <c r="J11" i="6"/>
  <c r="K11" i="6" s="1"/>
  <c r="H11" i="6"/>
  <c r="G11" i="6"/>
  <c r="A11" i="6"/>
  <c r="Q10" i="6"/>
  <c r="J10" i="6"/>
  <c r="K10" i="6" s="1"/>
  <c r="H10" i="6"/>
  <c r="G10" i="6"/>
  <c r="A10" i="6"/>
  <c r="Q9" i="6"/>
  <c r="J9" i="6"/>
  <c r="K9" i="6" s="1"/>
  <c r="H9" i="6"/>
  <c r="G9" i="6"/>
  <c r="A9" i="6"/>
  <c r="Q8" i="6"/>
  <c r="J8" i="6"/>
  <c r="K8" i="6" s="1"/>
  <c r="H8" i="6"/>
  <c r="G8" i="6"/>
  <c r="A8" i="6"/>
  <c r="Q7" i="6"/>
  <c r="J7" i="6"/>
  <c r="K7" i="6" s="1"/>
  <c r="H7" i="6"/>
  <c r="G7" i="6"/>
  <c r="A7" i="6"/>
  <c r="Q6" i="6"/>
  <c r="J6" i="6"/>
  <c r="H6" i="6"/>
  <c r="G6" i="6"/>
  <c r="A6" i="6"/>
  <c r="D518" i="5"/>
  <c r="B8" i="5" s="1"/>
  <c r="D517" i="5"/>
  <c r="J8" i="5" s="1"/>
  <c r="D514" i="5"/>
  <c r="D516" i="5" s="1"/>
  <c r="H8" i="5" s="1"/>
  <c r="D513" i="5"/>
  <c r="D515" i="5" s="1"/>
  <c r="F8" i="5" s="1"/>
  <c r="D512" i="5"/>
  <c r="D511" i="5"/>
  <c r="D510" i="5"/>
  <c r="D8" i="5" s="1"/>
  <c r="C501" i="5"/>
  <c r="C503" i="5" s="1"/>
  <c r="C504" i="5" s="1"/>
  <c r="M499" i="5"/>
  <c r="L499" i="5"/>
  <c r="K499" i="5"/>
  <c r="J499" i="5"/>
  <c r="I499" i="5"/>
  <c r="M498" i="5"/>
  <c r="L498" i="5"/>
  <c r="K498" i="5"/>
  <c r="J498" i="5"/>
  <c r="I498" i="5"/>
  <c r="M497" i="5"/>
  <c r="L497" i="5"/>
  <c r="K497" i="5"/>
  <c r="J497" i="5"/>
  <c r="I497" i="5"/>
  <c r="M496" i="5"/>
  <c r="L496" i="5"/>
  <c r="K496" i="5"/>
  <c r="J496" i="5"/>
  <c r="I496" i="5"/>
  <c r="M495" i="5"/>
  <c r="L495" i="5"/>
  <c r="K495" i="5"/>
  <c r="J495" i="5"/>
  <c r="I495" i="5"/>
  <c r="M494" i="5"/>
  <c r="L494" i="5"/>
  <c r="K494" i="5"/>
  <c r="J494" i="5"/>
  <c r="I494" i="5"/>
  <c r="M493" i="5"/>
  <c r="L493" i="5"/>
  <c r="K493" i="5"/>
  <c r="J493" i="5"/>
  <c r="I493" i="5"/>
  <c r="M492" i="5"/>
  <c r="L492" i="5"/>
  <c r="K492" i="5"/>
  <c r="J492" i="5"/>
  <c r="I492" i="5"/>
  <c r="M491" i="5"/>
  <c r="L491" i="5"/>
  <c r="K491" i="5"/>
  <c r="J491" i="5"/>
  <c r="I491" i="5"/>
  <c r="M490" i="5"/>
  <c r="L490" i="5"/>
  <c r="K490" i="5"/>
  <c r="J490" i="5"/>
  <c r="I490" i="5"/>
  <c r="M489" i="5"/>
  <c r="L489" i="5"/>
  <c r="K489" i="5"/>
  <c r="J489" i="5"/>
  <c r="I489" i="5"/>
  <c r="M488" i="5"/>
  <c r="L488" i="5"/>
  <c r="K488" i="5"/>
  <c r="J488" i="5"/>
  <c r="I488" i="5"/>
  <c r="M487" i="5"/>
  <c r="L487" i="5"/>
  <c r="K487" i="5"/>
  <c r="J487" i="5"/>
  <c r="I487" i="5"/>
  <c r="M486" i="5"/>
  <c r="L486" i="5"/>
  <c r="K486" i="5"/>
  <c r="J486" i="5"/>
  <c r="I486" i="5"/>
  <c r="M485" i="5"/>
  <c r="L485" i="5"/>
  <c r="K485" i="5"/>
  <c r="J485" i="5"/>
  <c r="I485" i="5"/>
  <c r="M484" i="5"/>
  <c r="L484" i="5"/>
  <c r="K484" i="5"/>
  <c r="J484" i="5"/>
  <c r="I484" i="5"/>
  <c r="M483" i="5"/>
  <c r="L483" i="5"/>
  <c r="K483" i="5"/>
  <c r="J483" i="5"/>
  <c r="I483" i="5"/>
  <c r="M482" i="5"/>
  <c r="L482" i="5"/>
  <c r="K482" i="5"/>
  <c r="J482" i="5"/>
  <c r="I482" i="5"/>
  <c r="M481" i="5"/>
  <c r="L481" i="5"/>
  <c r="K481" i="5"/>
  <c r="J481" i="5"/>
  <c r="I481" i="5"/>
  <c r="M480" i="5"/>
  <c r="L480" i="5"/>
  <c r="K480" i="5"/>
  <c r="J480" i="5"/>
  <c r="I480" i="5"/>
  <c r="M479" i="5"/>
  <c r="L479" i="5"/>
  <c r="K479" i="5"/>
  <c r="J479" i="5"/>
  <c r="I479" i="5"/>
  <c r="M478" i="5"/>
  <c r="L478" i="5"/>
  <c r="K478" i="5"/>
  <c r="J478" i="5"/>
  <c r="I478" i="5"/>
  <c r="M477" i="5"/>
  <c r="L477" i="5"/>
  <c r="K477" i="5"/>
  <c r="J477" i="5"/>
  <c r="I477" i="5"/>
  <c r="M476" i="5"/>
  <c r="L476" i="5"/>
  <c r="K476" i="5"/>
  <c r="J476" i="5"/>
  <c r="I476" i="5"/>
  <c r="M475" i="5"/>
  <c r="L475" i="5"/>
  <c r="K475" i="5"/>
  <c r="J475" i="5"/>
  <c r="I475" i="5"/>
  <c r="M474" i="5"/>
  <c r="L474" i="5"/>
  <c r="K474" i="5"/>
  <c r="J474" i="5"/>
  <c r="I474" i="5"/>
  <c r="M473" i="5"/>
  <c r="L473" i="5"/>
  <c r="K473" i="5"/>
  <c r="J473" i="5"/>
  <c r="I473" i="5"/>
  <c r="M472" i="5"/>
  <c r="L472" i="5"/>
  <c r="K472" i="5"/>
  <c r="J472" i="5"/>
  <c r="I472" i="5"/>
  <c r="M471" i="5"/>
  <c r="L471" i="5"/>
  <c r="K471" i="5"/>
  <c r="J471" i="5"/>
  <c r="I471" i="5"/>
  <c r="M470" i="5"/>
  <c r="L470" i="5"/>
  <c r="K470" i="5"/>
  <c r="J470" i="5"/>
  <c r="I470" i="5"/>
  <c r="M469" i="5"/>
  <c r="L469" i="5"/>
  <c r="K469" i="5"/>
  <c r="J469" i="5"/>
  <c r="I469" i="5"/>
  <c r="M468" i="5"/>
  <c r="L468" i="5"/>
  <c r="K468" i="5"/>
  <c r="J468" i="5"/>
  <c r="I468" i="5"/>
  <c r="M467" i="5"/>
  <c r="L467" i="5"/>
  <c r="K467" i="5"/>
  <c r="J467" i="5"/>
  <c r="I467" i="5"/>
  <c r="M466" i="5"/>
  <c r="L466" i="5"/>
  <c r="K466" i="5"/>
  <c r="J466" i="5"/>
  <c r="I466" i="5"/>
  <c r="M465" i="5"/>
  <c r="L465" i="5"/>
  <c r="K465" i="5"/>
  <c r="J465" i="5"/>
  <c r="I465" i="5"/>
  <c r="M464" i="5"/>
  <c r="L464" i="5"/>
  <c r="K464" i="5"/>
  <c r="J464" i="5"/>
  <c r="I464" i="5"/>
  <c r="M463" i="5"/>
  <c r="L463" i="5"/>
  <c r="K463" i="5"/>
  <c r="J463" i="5"/>
  <c r="I463" i="5"/>
  <c r="M462" i="5"/>
  <c r="L462" i="5"/>
  <c r="K462" i="5"/>
  <c r="J462" i="5"/>
  <c r="I462" i="5"/>
  <c r="M461" i="5"/>
  <c r="L461" i="5"/>
  <c r="K461" i="5"/>
  <c r="J461" i="5"/>
  <c r="I461" i="5"/>
  <c r="M460" i="5"/>
  <c r="L460" i="5"/>
  <c r="K460" i="5"/>
  <c r="J460" i="5"/>
  <c r="I460" i="5"/>
  <c r="M459" i="5"/>
  <c r="L459" i="5"/>
  <c r="K459" i="5"/>
  <c r="J459" i="5"/>
  <c r="I459" i="5"/>
  <c r="M458" i="5"/>
  <c r="L458" i="5"/>
  <c r="K458" i="5"/>
  <c r="J458" i="5"/>
  <c r="I458" i="5"/>
  <c r="M457" i="5"/>
  <c r="L457" i="5"/>
  <c r="K457" i="5"/>
  <c r="J457" i="5"/>
  <c r="I457" i="5"/>
  <c r="M456" i="5"/>
  <c r="L456" i="5"/>
  <c r="K456" i="5"/>
  <c r="J456" i="5"/>
  <c r="I456" i="5"/>
  <c r="M455" i="5"/>
  <c r="L455" i="5"/>
  <c r="K455" i="5"/>
  <c r="J455" i="5"/>
  <c r="I455" i="5"/>
  <c r="M454" i="5"/>
  <c r="L454" i="5"/>
  <c r="K454" i="5"/>
  <c r="J454" i="5"/>
  <c r="I454" i="5"/>
  <c r="M453" i="5"/>
  <c r="L453" i="5"/>
  <c r="K453" i="5"/>
  <c r="J453" i="5"/>
  <c r="I453" i="5"/>
  <c r="M452" i="5"/>
  <c r="L452" i="5"/>
  <c r="K452" i="5"/>
  <c r="J452" i="5"/>
  <c r="I452" i="5"/>
  <c r="M451" i="5"/>
  <c r="L451" i="5"/>
  <c r="K451" i="5"/>
  <c r="J451" i="5"/>
  <c r="I451" i="5"/>
  <c r="M450" i="5"/>
  <c r="L450" i="5"/>
  <c r="K450" i="5"/>
  <c r="J450" i="5"/>
  <c r="I450" i="5"/>
  <c r="M449" i="5"/>
  <c r="L449" i="5"/>
  <c r="K449" i="5"/>
  <c r="J449" i="5"/>
  <c r="I449" i="5"/>
  <c r="M448" i="5"/>
  <c r="L448" i="5"/>
  <c r="K448" i="5"/>
  <c r="J448" i="5"/>
  <c r="I448" i="5"/>
  <c r="M447" i="5"/>
  <c r="L447" i="5"/>
  <c r="K447" i="5"/>
  <c r="J447" i="5"/>
  <c r="I447" i="5"/>
  <c r="M446" i="5"/>
  <c r="L446" i="5"/>
  <c r="K446" i="5"/>
  <c r="J446" i="5"/>
  <c r="I446" i="5"/>
  <c r="M445" i="5"/>
  <c r="L445" i="5"/>
  <c r="K445" i="5"/>
  <c r="J445" i="5"/>
  <c r="I445" i="5"/>
  <c r="M444" i="5"/>
  <c r="L444" i="5"/>
  <c r="K444" i="5"/>
  <c r="J444" i="5"/>
  <c r="I444" i="5"/>
  <c r="M443" i="5"/>
  <c r="L443" i="5"/>
  <c r="K443" i="5"/>
  <c r="J443" i="5"/>
  <c r="I443" i="5"/>
  <c r="M442" i="5"/>
  <c r="L442" i="5"/>
  <c r="K442" i="5"/>
  <c r="J442" i="5"/>
  <c r="I442" i="5"/>
  <c r="M441" i="5"/>
  <c r="L441" i="5"/>
  <c r="K441" i="5"/>
  <c r="J441" i="5"/>
  <c r="I441" i="5"/>
  <c r="M440" i="5"/>
  <c r="L440" i="5"/>
  <c r="K440" i="5"/>
  <c r="J440" i="5"/>
  <c r="I440" i="5"/>
  <c r="M439" i="5"/>
  <c r="L439" i="5"/>
  <c r="K439" i="5"/>
  <c r="J439" i="5"/>
  <c r="I439" i="5"/>
  <c r="M438" i="5"/>
  <c r="L438" i="5"/>
  <c r="K438" i="5"/>
  <c r="J438" i="5"/>
  <c r="I438" i="5"/>
  <c r="M437" i="5"/>
  <c r="L437" i="5"/>
  <c r="K437" i="5"/>
  <c r="J437" i="5"/>
  <c r="I437" i="5"/>
  <c r="M436" i="5"/>
  <c r="L436" i="5"/>
  <c r="K436" i="5"/>
  <c r="J436" i="5"/>
  <c r="I436" i="5"/>
  <c r="M435" i="5"/>
  <c r="L435" i="5"/>
  <c r="K435" i="5"/>
  <c r="J435" i="5"/>
  <c r="I435" i="5"/>
  <c r="M434" i="5"/>
  <c r="L434" i="5"/>
  <c r="K434" i="5"/>
  <c r="J434" i="5"/>
  <c r="I434" i="5"/>
  <c r="M433" i="5"/>
  <c r="L433" i="5"/>
  <c r="K433" i="5"/>
  <c r="J433" i="5"/>
  <c r="I433" i="5"/>
  <c r="M432" i="5"/>
  <c r="L432" i="5"/>
  <c r="K432" i="5"/>
  <c r="J432" i="5"/>
  <c r="I432" i="5"/>
  <c r="M431" i="5"/>
  <c r="L431" i="5"/>
  <c r="K431" i="5"/>
  <c r="J431" i="5"/>
  <c r="I431" i="5"/>
  <c r="M430" i="5"/>
  <c r="L430" i="5"/>
  <c r="K430" i="5"/>
  <c r="J430" i="5"/>
  <c r="I430" i="5"/>
  <c r="M429" i="5"/>
  <c r="L429" i="5"/>
  <c r="K429" i="5"/>
  <c r="J429" i="5"/>
  <c r="I429" i="5"/>
  <c r="M428" i="5"/>
  <c r="L428" i="5"/>
  <c r="K428" i="5"/>
  <c r="J428" i="5"/>
  <c r="I428" i="5"/>
  <c r="M427" i="5"/>
  <c r="L427" i="5"/>
  <c r="K427" i="5"/>
  <c r="J427" i="5"/>
  <c r="I427" i="5"/>
  <c r="M426" i="5"/>
  <c r="L426" i="5"/>
  <c r="K426" i="5"/>
  <c r="J426" i="5"/>
  <c r="I426" i="5"/>
  <c r="M425" i="5"/>
  <c r="L425" i="5"/>
  <c r="K425" i="5"/>
  <c r="J425" i="5"/>
  <c r="I425" i="5"/>
  <c r="M424" i="5"/>
  <c r="L424" i="5"/>
  <c r="K424" i="5"/>
  <c r="J424" i="5"/>
  <c r="I424" i="5"/>
  <c r="M423" i="5"/>
  <c r="L423" i="5"/>
  <c r="K423" i="5"/>
  <c r="J423" i="5"/>
  <c r="I423" i="5"/>
  <c r="M422" i="5"/>
  <c r="L422" i="5"/>
  <c r="K422" i="5"/>
  <c r="J422" i="5"/>
  <c r="I422" i="5"/>
  <c r="M421" i="5"/>
  <c r="L421" i="5"/>
  <c r="K421" i="5"/>
  <c r="J421" i="5"/>
  <c r="I421" i="5"/>
  <c r="M420" i="5"/>
  <c r="L420" i="5"/>
  <c r="K420" i="5"/>
  <c r="J420" i="5"/>
  <c r="I420" i="5"/>
  <c r="M419" i="5"/>
  <c r="L419" i="5"/>
  <c r="K419" i="5"/>
  <c r="J419" i="5"/>
  <c r="I419" i="5"/>
  <c r="M418" i="5"/>
  <c r="L418" i="5"/>
  <c r="K418" i="5"/>
  <c r="J418" i="5"/>
  <c r="I418" i="5"/>
  <c r="M417" i="5"/>
  <c r="L417" i="5"/>
  <c r="K417" i="5"/>
  <c r="J417" i="5"/>
  <c r="I417" i="5"/>
  <c r="M416" i="5"/>
  <c r="L416" i="5"/>
  <c r="K416" i="5"/>
  <c r="J416" i="5"/>
  <c r="I416" i="5"/>
  <c r="M415" i="5"/>
  <c r="L415" i="5"/>
  <c r="K415" i="5"/>
  <c r="J415" i="5"/>
  <c r="I415" i="5"/>
  <c r="M414" i="5"/>
  <c r="L414" i="5"/>
  <c r="K414" i="5"/>
  <c r="J414" i="5"/>
  <c r="I414" i="5"/>
  <c r="M413" i="5"/>
  <c r="L413" i="5"/>
  <c r="K413" i="5"/>
  <c r="J413" i="5"/>
  <c r="I413" i="5"/>
  <c r="M412" i="5"/>
  <c r="L412" i="5"/>
  <c r="K412" i="5"/>
  <c r="J412" i="5"/>
  <c r="I412" i="5"/>
  <c r="M411" i="5"/>
  <c r="L411" i="5"/>
  <c r="K411" i="5"/>
  <c r="J411" i="5"/>
  <c r="I411" i="5"/>
  <c r="M410" i="5"/>
  <c r="L410" i="5"/>
  <c r="K410" i="5"/>
  <c r="J410" i="5"/>
  <c r="I410" i="5"/>
  <c r="M409" i="5"/>
  <c r="L409" i="5"/>
  <c r="K409" i="5"/>
  <c r="J409" i="5"/>
  <c r="I409" i="5"/>
  <c r="M408" i="5"/>
  <c r="L408" i="5"/>
  <c r="K408" i="5"/>
  <c r="J408" i="5"/>
  <c r="I408" i="5"/>
  <c r="M407" i="5"/>
  <c r="L407" i="5"/>
  <c r="K407" i="5"/>
  <c r="J407" i="5"/>
  <c r="I407" i="5"/>
  <c r="M406" i="5"/>
  <c r="L406" i="5"/>
  <c r="K406" i="5"/>
  <c r="J406" i="5"/>
  <c r="I406" i="5"/>
  <c r="M405" i="5"/>
  <c r="L405" i="5"/>
  <c r="K405" i="5"/>
  <c r="J405" i="5"/>
  <c r="I405" i="5"/>
  <c r="M404" i="5"/>
  <c r="L404" i="5"/>
  <c r="K404" i="5"/>
  <c r="J404" i="5"/>
  <c r="I404" i="5"/>
  <c r="M403" i="5"/>
  <c r="L403" i="5"/>
  <c r="K403" i="5"/>
  <c r="J403" i="5"/>
  <c r="I403" i="5"/>
  <c r="M402" i="5"/>
  <c r="L402" i="5"/>
  <c r="K402" i="5"/>
  <c r="J402" i="5"/>
  <c r="I402" i="5"/>
  <c r="M401" i="5"/>
  <c r="L401" i="5"/>
  <c r="K401" i="5"/>
  <c r="J401" i="5"/>
  <c r="I401" i="5"/>
  <c r="M400" i="5"/>
  <c r="L400" i="5"/>
  <c r="K400" i="5"/>
  <c r="J400" i="5"/>
  <c r="I400" i="5"/>
  <c r="M399" i="5"/>
  <c r="L399" i="5"/>
  <c r="K399" i="5"/>
  <c r="J399" i="5"/>
  <c r="I399" i="5"/>
  <c r="M398" i="5"/>
  <c r="L398" i="5"/>
  <c r="K398" i="5"/>
  <c r="J398" i="5"/>
  <c r="I398" i="5"/>
  <c r="M397" i="5"/>
  <c r="L397" i="5"/>
  <c r="K397" i="5"/>
  <c r="J397" i="5"/>
  <c r="I397" i="5"/>
  <c r="M396" i="5"/>
  <c r="L396" i="5"/>
  <c r="K396" i="5"/>
  <c r="J396" i="5"/>
  <c r="I396" i="5"/>
  <c r="M395" i="5"/>
  <c r="L395" i="5"/>
  <c r="K395" i="5"/>
  <c r="J395" i="5"/>
  <c r="I395" i="5"/>
  <c r="M394" i="5"/>
  <c r="L394" i="5"/>
  <c r="K394" i="5"/>
  <c r="J394" i="5"/>
  <c r="I394" i="5"/>
  <c r="M393" i="5"/>
  <c r="L393" i="5"/>
  <c r="K393" i="5"/>
  <c r="J393" i="5"/>
  <c r="I393" i="5"/>
  <c r="M392" i="5"/>
  <c r="L392" i="5"/>
  <c r="K392" i="5"/>
  <c r="J392" i="5"/>
  <c r="I392" i="5"/>
  <c r="M391" i="5"/>
  <c r="L391" i="5"/>
  <c r="K391" i="5"/>
  <c r="J391" i="5"/>
  <c r="I391" i="5"/>
  <c r="M390" i="5"/>
  <c r="L390" i="5"/>
  <c r="K390" i="5"/>
  <c r="J390" i="5"/>
  <c r="I390" i="5"/>
  <c r="M389" i="5"/>
  <c r="L389" i="5"/>
  <c r="K389" i="5"/>
  <c r="J389" i="5"/>
  <c r="I389" i="5"/>
  <c r="M388" i="5"/>
  <c r="L388" i="5"/>
  <c r="K388" i="5"/>
  <c r="J388" i="5"/>
  <c r="I388" i="5"/>
  <c r="M387" i="5"/>
  <c r="L387" i="5"/>
  <c r="K387" i="5"/>
  <c r="J387" i="5"/>
  <c r="I387" i="5"/>
  <c r="M386" i="5"/>
  <c r="L386" i="5"/>
  <c r="K386" i="5"/>
  <c r="J386" i="5"/>
  <c r="I386" i="5"/>
  <c r="M385" i="5"/>
  <c r="L385" i="5"/>
  <c r="K385" i="5"/>
  <c r="J385" i="5"/>
  <c r="I385" i="5"/>
  <c r="M384" i="5"/>
  <c r="L384" i="5"/>
  <c r="K384" i="5"/>
  <c r="J384" i="5"/>
  <c r="I384" i="5"/>
  <c r="M383" i="5"/>
  <c r="L383" i="5"/>
  <c r="K383" i="5"/>
  <c r="J383" i="5"/>
  <c r="I383" i="5"/>
  <c r="M382" i="5"/>
  <c r="L382" i="5"/>
  <c r="K382" i="5"/>
  <c r="J382" i="5"/>
  <c r="I382" i="5"/>
  <c r="M381" i="5"/>
  <c r="L381" i="5"/>
  <c r="K381" i="5"/>
  <c r="J381" i="5"/>
  <c r="I381" i="5"/>
  <c r="M380" i="5"/>
  <c r="L380" i="5"/>
  <c r="K380" i="5"/>
  <c r="J380" i="5"/>
  <c r="I380" i="5"/>
  <c r="M379" i="5"/>
  <c r="L379" i="5"/>
  <c r="K379" i="5"/>
  <c r="J379" i="5"/>
  <c r="I379" i="5"/>
  <c r="M378" i="5"/>
  <c r="L378" i="5"/>
  <c r="K378" i="5"/>
  <c r="J378" i="5"/>
  <c r="I378" i="5"/>
  <c r="M377" i="5"/>
  <c r="L377" i="5"/>
  <c r="K377" i="5"/>
  <c r="J377" i="5"/>
  <c r="I377" i="5"/>
  <c r="M376" i="5"/>
  <c r="L376" i="5"/>
  <c r="K376" i="5"/>
  <c r="J376" i="5"/>
  <c r="I376" i="5"/>
  <c r="M375" i="5"/>
  <c r="L375" i="5"/>
  <c r="K375" i="5"/>
  <c r="J375" i="5"/>
  <c r="I375" i="5"/>
  <c r="M374" i="5"/>
  <c r="L374" i="5"/>
  <c r="K374" i="5"/>
  <c r="J374" i="5"/>
  <c r="I374" i="5"/>
  <c r="M373" i="5"/>
  <c r="L373" i="5"/>
  <c r="K373" i="5"/>
  <c r="J373" i="5"/>
  <c r="I373" i="5"/>
  <c r="M372" i="5"/>
  <c r="L372" i="5"/>
  <c r="K372" i="5"/>
  <c r="J372" i="5"/>
  <c r="I372" i="5"/>
  <c r="M371" i="5"/>
  <c r="L371" i="5"/>
  <c r="K371" i="5"/>
  <c r="J371" i="5"/>
  <c r="I371" i="5"/>
  <c r="M370" i="5"/>
  <c r="L370" i="5"/>
  <c r="K370" i="5"/>
  <c r="J370" i="5"/>
  <c r="I370" i="5"/>
  <c r="M369" i="5"/>
  <c r="L369" i="5"/>
  <c r="K369" i="5"/>
  <c r="J369" i="5"/>
  <c r="I369" i="5"/>
  <c r="M368" i="5"/>
  <c r="L368" i="5"/>
  <c r="K368" i="5"/>
  <c r="J368" i="5"/>
  <c r="I368" i="5"/>
  <c r="M367" i="5"/>
  <c r="L367" i="5"/>
  <c r="K367" i="5"/>
  <c r="J367" i="5"/>
  <c r="I367" i="5"/>
  <c r="M366" i="5"/>
  <c r="L366" i="5"/>
  <c r="K366" i="5"/>
  <c r="J366" i="5"/>
  <c r="I366" i="5"/>
  <c r="M365" i="5"/>
  <c r="L365" i="5"/>
  <c r="K365" i="5"/>
  <c r="J365" i="5"/>
  <c r="I365" i="5"/>
  <c r="M364" i="5"/>
  <c r="L364" i="5"/>
  <c r="K364" i="5"/>
  <c r="J364" i="5"/>
  <c r="I364" i="5"/>
  <c r="M363" i="5"/>
  <c r="L363" i="5"/>
  <c r="K363" i="5"/>
  <c r="J363" i="5"/>
  <c r="I363" i="5"/>
  <c r="M362" i="5"/>
  <c r="L362" i="5"/>
  <c r="K362" i="5"/>
  <c r="J362" i="5"/>
  <c r="I362" i="5"/>
  <c r="M361" i="5"/>
  <c r="L361" i="5"/>
  <c r="K361" i="5"/>
  <c r="J361" i="5"/>
  <c r="I361" i="5"/>
  <c r="M360" i="5"/>
  <c r="L360" i="5"/>
  <c r="K360" i="5"/>
  <c r="J360" i="5"/>
  <c r="I360" i="5"/>
  <c r="M359" i="5"/>
  <c r="L359" i="5"/>
  <c r="K359" i="5"/>
  <c r="J359" i="5"/>
  <c r="I359" i="5"/>
  <c r="M358" i="5"/>
  <c r="L358" i="5"/>
  <c r="K358" i="5"/>
  <c r="J358" i="5"/>
  <c r="I358" i="5"/>
  <c r="M357" i="5"/>
  <c r="L357" i="5"/>
  <c r="K357" i="5"/>
  <c r="J357" i="5"/>
  <c r="I357" i="5"/>
  <c r="M356" i="5"/>
  <c r="L356" i="5"/>
  <c r="K356" i="5"/>
  <c r="J356" i="5"/>
  <c r="I356" i="5"/>
  <c r="M355" i="5"/>
  <c r="L355" i="5"/>
  <c r="K355" i="5"/>
  <c r="J355" i="5"/>
  <c r="I355" i="5"/>
  <c r="M354" i="5"/>
  <c r="L354" i="5"/>
  <c r="K354" i="5"/>
  <c r="J354" i="5"/>
  <c r="I354" i="5"/>
  <c r="M353" i="5"/>
  <c r="L353" i="5"/>
  <c r="K353" i="5"/>
  <c r="J353" i="5"/>
  <c r="I353" i="5"/>
  <c r="M352" i="5"/>
  <c r="L352" i="5"/>
  <c r="K352" i="5"/>
  <c r="J352" i="5"/>
  <c r="I352" i="5"/>
  <c r="M351" i="5"/>
  <c r="L351" i="5"/>
  <c r="K351" i="5"/>
  <c r="J351" i="5"/>
  <c r="I351" i="5"/>
  <c r="M350" i="5"/>
  <c r="I30" i="12" s="1"/>
  <c r="L350" i="5"/>
  <c r="K350" i="5"/>
  <c r="J350" i="5"/>
  <c r="I350" i="5"/>
  <c r="M349" i="5"/>
  <c r="L349" i="5"/>
  <c r="K349" i="5"/>
  <c r="J349" i="5"/>
  <c r="I349" i="5"/>
  <c r="M348" i="5"/>
  <c r="L348" i="5"/>
  <c r="K348" i="5"/>
  <c r="J348" i="5"/>
  <c r="I348" i="5"/>
  <c r="M347" i="5"/>
  <c r="L347" i="5"/>
  <c r="K347" i="5"/>
  <c r="J347" i="5"/>
  <c r="I347" i="5"/>
  <c r="M346" i="5"/>
  <c r="L346" i="5"/>
  <c r="K346" i="5"/>
  <c r="J346" i="5"/>
  <c r="I346" i="5"/>
  <c r="M345" i="5"/>
  <c r="L345" i="5"/>
  <c r="K345" i="5"/>
  <c r="J345" i="5"/>
  <c r="I345" i="5"/>
  <c r="M344" i="5"/>
  <c r="L344" i="5"/>
  <c r="K344" i="5"/>
  <c r="J344" i="5"/>
  <c r="I344" i="5"/>
  <c r="M343" i="5"/>
  <c r="L343" i="5"/>
  <c r="K343" i="5"/>
  <c r="J343" i="5"/>
  <c r="I343" i="5"/>
  <c r="M342" i="5"/>
  <c r="L342" i="5"/>
  <c r="K342" i="5"/>
  <c r="J342" i="5"/>
  <c r="I342" i="5"/>
  <c r="M341" i="5"/>
  <c r="L341" i="5"/>
  <c r="K341" i="5"/>
  <c r="J341" i="5"/>
  <c r="I341" i="5"/>
  <c r="M340" i="5"/>
  <c r="L340" i="5"/>
  <c r="K340" i="5"/>
  <c r="J340" i="5"/>
  <c r="I340" i="5"/>
  <c r="M339" i="5"/>
  <c r="L339" i="5"/>
  <c r="K339" i="5"/>
  <c r="J339" i="5"/>
  <c r="I339" i="5"/>
  <c r="M338" i="5"/>
  <c r="L338" i="5"/>
  <c r="K338" i="5"/>
  <c r="J338" i="5"/>
  <c r="I338" i="5"/>
  <c r="M337" i="5"/>
  <c r="L337" i="5"/>
  <c r="K337" i="5"/>
  <c r="J337" i="5"/>
  <c r="I337" i="5"/>
  <c r="M336" i="5"/>
  <c r="L336" i="5"/>
  <c r="K336" i="5"/>
  <c r="J336" i="5"/>
  <c r="I336" i="5"/>
  <c r="M335" i="5"/>
  <c r="L335" i="5"/>
  <c r="K335" i="5"/>
  <c r="J335" i="5"/>
  <c r="I335" i="5"/>
  <c r="M334" i="5"/>
  <c r="L334" i="5"/>
  <c r="K334" i="5"/>
  <c r="J334" i="5"/>
  <c r="I334" i="5"/>
  <c r="M333" i="5"/>
  <c r="L333" i="5"/>
  <c r="K333" i="5"/>
  <c r="J333" i="5"/>
  <c r="I333" i="5"/>
  <c r="M332" i="5"/>
  <c r="L332" i="5"/>
  <c r="K332" i="5"/>
  <c r="J332" i="5"/>
  <c r="I332" i="5"/>
  <c r="M331" i="5"/>
  <c r="L331" i="5"/>
  <c r="K331" i="5"/>
  <c r="J331" i="5"/>
  <c r="I331" i="5"/>
  <c r="M330" i="5"/>
  <c r="L330" i="5"/>
  <c r="K330" i="5"/>
  <c r="J330" i="5"/>
  <c r="I330" i="5"/>
  <c r="M329" i="5"/>
  <c r="L329" i="5"/>
  <c r="K329" i="5"/>
  <c r="J329" i="5"/>
  <c r="I329" i="5"/>
  <c r="M328" i="5"/>
  <c r="L328" i="5"/>
  <c r="K328" i="5"/>
  <c r="J328" i="5"/>
  <c r="I328" i="5"/>
  <c r="M327" i="5"/>
  <c r="L327" i="5"/>
  <c r="K327" i="5"/>
  <c r="J327" i="5"/>
  <c r="I327" i="5"/>
  <c r="M326" i="5"/>
  <c r="L326" i="5"/>
  <c r="K326" i="5"/>
  <c r="J326" i="5"/>
  <c r="I326" i="5"/>
  <c r="M325" i="5"/>
  <c r="L325" i="5"/>
  <c r="K325" i="5"/>
  <c r="J325" i="5"/>
  <c r="I325" i="5"/>
  <c r="M324" i="5"/>
  <c r="L324" i="5"/>
  <c r="K324" i="5"/>
  <c r="J324" i="5"/>
  <c r="I324" i="5"/>
  <c r="M323" i="5"/>
  <c r="L323" i="5"/>
  <c r="K323" i="5"/>
  <c r="J323" i="5"/>
  <c r="I323" i="5"/>
  <c r="M322" i="5"/>
  <c r="L322" i="5"/>
  <c r="K322" i="5"/>
  <c r="J322" i="5"/>
  <c r="I322" i="5"/>
  <c r="M321" i="5"/>
  <c r="L321" i="5"/>
  <c r="K321" i="5"/>
  <c r="J321" i="5"/>
  <c r="I321" i="5"/>
  <c r="M320" i="5"/>
  <c r="L320" i="5"/>
  <c r="K320" i="5"/>
  <c r="J320" i="5"/>
  <c r="I320" i="5"/>
  <c r="M319" i="5"/>
  <c r="L319" i="5"/>
  <c r="K319" i="5"/>
  <c r="J319" i="5"/>
  <c r="I319" i="5"/>
  <c r="M318" i="5"/>
  <c r="L318" i="5"/>
  <c r="K318" i="5"/>
  <c r="J318" i="5"/>
  <c r="I318" i="5"/>
  <c r="M317" i="5"/>
  <c r="L317" i="5"/>
  <c r="K317" i="5"/>
  <c r="J317" i="5"/>
  <c r="I317" i="5"/>
  <c r="M316" i="5"/>
  <c r="L316" i="5"/>
  <c r="K316" i="5"/>
  <c r="J316" i="5"/>
  <c r="I316" i="5"/>
  <c r="M315" i="5"/>
  <c r="L315" i="5"/>
  <c r="K315" i="5"/>
  <c r="J315" i="5"/>
  <c r="I315" i="5"/>
  <c r="M314" i="5"/>
  <c r="L314" i="5"/>
  <c r="K314" i="5"/>
  <c r="J314" i="5"/>
  <c r="I314" i="5"/>
  <c r="M313" i="5"/>
  <c r="L313" i="5"/>
  <c r="K313" i="5"/>
  <c r="J313" i="5"/>
  <c r="I313" i="5"/>
  <c r="M312" i="5"/>
  <c r="L312" i="5"/>
  <c r="K312" i="5"/>
  <c r="J312" i="5"/>
  <c r="I312" i="5"/>
  <c r="M311" i="5"/>
  <c r="L311" i="5"/>
  <c r="K311" i="5"/>
  <c r="J311" i="5"/>
  <c r="I311" i="5"/>
  <c r="M310" i="5"/>
  <c r="L310" i="5"/>
  <c r="K310" i="5"/>
  <c r="J310" i="5"/>
  <c r="I310" i="5"/>
  <c r="M309" i="5"/>
  <c r="L309" i="5"/>
  <c r="K309" i="5"/>
  <c r="J309" i="5"/>
  <c r="I309" i="5"/>
  <c r="M308" i="5"/>
  <c r="L308" i="5"/>
  <c r="K308" i="5"/>
  <c r="J308" i="5"/>
  <c r="I308" i="5"/>
  <c r="M307" i="5"/>
  <c r="L307" i="5"/>
  <c r="K307" i="5"/>
  <c r="J307" i="5"/>
  <c r="I307" i="5"/>
  <c r="M306" i="5"/>
  <c r="L306" i="5"/>
  <c r="K306" i="5"/>
  <c r="J306" i="5"/>
  <c r="I306" i="5"/>
  <c r="M305" i="5"/>
  <c r="L305" i="5"/>
  <c r="K305" i="5"/>
  <c r="J305" i="5"/>
  <c r="I305" i="5"/>
  <c r="M304" i="5"/>
  <c r="L304" i="5"/>
  <c r="K304" i="5"/>
  <c r="J304" i="5"/>
  <c r="I304" i="5"/>
  <c r="M303" i="5"/>
  <c r="L303" i="5"/>
  <c r="K303" i="5"/>
  <c r="J303" i="5"/>
  <c r="I303" i="5"/>
  <c r="M302" i="5"/>
  <c r="L302" i="5"/>
  <c r="K302" i="5"/>
  <c r="J302" i="5"/>
  <c r="I302" i="5"/>
  <c r="M301" i="5"/>
  <c r="L301" i="5"/>
  <c r="K301" i="5"/>
  <c r="J301" i="5"/>
  <c r="I301" i="5"/>
  <c r="M300" i="5"/>
  <c r="L300" i="5"/>
  <c r="K300" i="5"/>
  <c r="J300" i="5"/>
  <c r="I300" i="5"/>
  <c r="M299" i="5"/>
  <c r="L299" i="5"/>
  <c r="K299" i="5"/>
  <c r="J299" i="5"/>
  <c r="I299" i="5"/>
  <c r="M298" i="5"/>
  <c r="L298" i="5"/>
  <c r="K298" i="5"/>
  <c r="J298" i="5"/>
  <c r="I298" i="5"/>
  <c r="M297" i="5"/>
  <c r="L297" i="5"/>
  <c r="K297" i="5"/>
  <c r="J297" i="5"/>
  <c r="I297" i="5"/>
  <c r="M296" i="5"/>
  <c r="L296" i="5"/>
  <c r="K296" i="5"/>
  <c r="J296" i="5"/>
  <c r="I296" i="5"/>
  <c r="M295" i="5"/>
  <c r="L295" i="5"/>
  <c r="K295" i="5"/>
  <c r="J295" i="5"/>
  <c r="I295" i="5"/>
  <c r="M294" i="5"/>
  <c r="L294" i="5"/>
  <c r="K294" i="5"/>
  <c r="J294" i="5"/>
  <c r="I294" i="5"/>
  <c r="M293" i="5"/>
  <c r="L293" i="5"/>
  <c r="K293" i="5"/>
  <c r="J293" i="5"/>
  <c r="I293" i="5"/>
  <c r="M292" i="5"/>
  <c r="L292" i="5"/>
  <c r="K292" i="5"/>
  <c r="J292" i="5"/>
  <c r="I292" i="5"/>
  <c r="M291" i="5"/>
  <c r="L291" i="5"/>
  <c r="K291" i="5"/>
  <c r="J291" i="5"/>
  <c r="I291" i="5"/>
  <c r="M290" i="5"/>
  <c r="L290" i="5"/>
  <c r="K290" i="5"/>
  <c r="J290" i="5"/>
  <c r="I290" i="5"/>
  <c r="M289" i="5"/>
  <c r="L289" i="5"/>
  <c r="K289" i="5"/>
  <c r="J289" i="5"/>
  <c r="I289" i="5"/>
  <c r="M288" i="5"/>
  <c r="L288" i="5"/>
  <c r="K288" i="5"/>
  <c r="J288" i="5"/>
  <c r="I288" i="5"/>
  <c r="M287" i="5"/>
  <c r="L287" i="5"/>
  <c r="K287" i="5"/>
  <c r="J287" i="5"/>
  <c r="I287" i="5"/>
  <c r="M286" i="5"/>
  <c r="L286" i="5"/>
  <c r="K286" i="5"/>
  <c r="J286" i="5"/>
  <c r="I286" i="5"/>
  <c r="M285" i="5"/>
  <c r="L285" i="5"/>
  <c r="K285" i="5"/>
  <c r="J285" i="5"/>
  <c r="I285" i="5"/>
  <c r="M284" i="5"/>
  <c r="L284" i="5"/>
  <c r="K284" i="5"/>
  <c r="J284" i="5"/>
  <c r="I284" i="5"/>
  <c r="M283" i="5"/>
  <c r="L283" i="5"/>
  <c r="K283" i="5"/>
  <c r="J283" i="5"/>
  <c r="I283" i="5"/>
  <c r="M282" i="5"/>
  <c r="L282" i="5"/>
  <c r="K282" i="5"/>
  <c r="J282" i="5"/>
  <c r="I282" i="5"/>
  <c r="M281" i="5"/>
  <c r="L281" i="5"/>
  <c r="K281" i="5"/>
  <c r="J281" i="5"/>
  <c r="I281" i="5"/>
  <c r="M280" i="5"/>
  <c r="L280" i="5"/>
  <c r="K280" i="5"/>
  <c r="J280" i="5"/>
  <c r="I280" i="5"/>
  <c r="M279" i="5"/>
  <c r="L279" i="5"/>
  <c r="K279" i="5"/>
  <c r="J279" i="5"/>
  <c r="I279" i="5"/>
  <c r="M278" i="5"/>
  <c r="L278" i="5"/>
  <c r="K278" i="5"/>
  <c r="J278" i="5"/>
  <c r="I278" i="5"/>
  <c r="M277" i="5"/>
  <c r="L277" i="5"/>
  <c r="K277" i="5"/>
  <c r="J277" i="5"/>
  <c r="I277" i="5"/>
  <c r="M276" i="5"/>
  <c r="L276" i="5"/>
  <c r="K276" i="5"/>
  <c r="J276" i="5"/>
  <c r="I276" i="5"/>
  <c r="M275" i="5"/>
  <c r="L275" i="5"/>
  <c r="K275" i="5"/>
  <c r="J275" i="5"/>
  <c r="I275" i="5"/>
  <c r="M274" i="5"/>
  <c r="L274" i="5"/>
  <c r="K274" i="5"/>
  <c r="J274" i="5"/>
  <c r="I274" i="5"/>
  <c r="M273" i="5"/>
  <c r="L273" i="5"/>
  <c r="K273" i="5"/>
  <c r="J273" i="5"/>
  <c r="I273" i="5"/>
  <c r="M272" i="5"/>
  <c r="L272" i="5"/>
  <c r="K272" i="5"/>
  <c r="J272" i="5"/>
  <c r="I272" i="5"/>
  <c r="M271" i="5"/>
  <c r="L271" i="5"/>
  <c r="K271" i="5"/>
  <c r="J271" i="5"/>
  <c r="I271" i="5"/>
  <c r="M270" i="5"/>
  <c r="L270" i="5"/>
  <c r="K270" i="5"/>
  <c r="J270" i="5"/>
  <c r="I270" i="5"/>
  <c r="M269" i="5"/>
  <c r="L269" i="5"/>
  <c r="K269" i="5"/>
  <c r="J269" i="5"/>
  <c r="I269" i="5"/>
  <c r="M268" i="5"/>
  <c r="L268" i="5"/>
  <c r="K268" i="5"/>
  <c r="J268" i="5"/>
  <c r="I268" i="5"/>
  <c r="M267" i="5"/>
  <c r="L267" i="5"/>
  <c r="K267" i="5"/>
  <c r="J267" i="5"/>
  <c r="I267" i="5"/>
  <c r="M266" i="5"/>
  <c r="L266" i="5"/>
  <c r="K266" i="5"/>
  <c r="J266" i="5"/>
  <c r="I266" i="5"/>
  <c r="M265" i="5"/>
  <c r="L265" i="5"/>
  <c r="K265" i="5"/>
  <c r="J265" i="5"/>
  <c r="I265" i="5"/>
  <c r="M264" i="5"/>
  <c r="L264" i="5"/>
  <c r="K264" i="5"/>
  <c r="J264" i="5"/>
  <c r="I264" i="5"/>
  <c r="M263" i="5"/>
  <c r="L263" i="5"/>
  <c r="K263" i="5"/>
  <c r="J263" i="5"/>
  <c r="I263" i="5"/>
  <c r="M262" i="5"/>
  <c r="L262" i="5"/>
  <c r="K262" i="5"/>
  <c r="J262" i="5"/>
  <c r="I262" i="5"/>
  <c r="M261" i="5"/>
  <c r="L261" i="5"/>
  <c r="K261" i="5"/>
  <c r="J261" i="5"/>
  <c r="I261" i="5"/>
  <c r="M260" i="5"/>
  <c r="L260" i="5"/>
  <c r="K260" i="5"/>
  <c r="J260" i="5"/>
  <c r="I260" i="5"/>
  <c r="M259" i="5"/>
  <c r="L259" i="5"/>
  <c r="K259" i="5"/>
  <c r="J259" i="5"/>
  <c r="I259" i="5"/>
  <c r="M258" i="5"/>
  <c r="L258" i="5"/>
  <c r="K258" i="5"/>
  <c r="J258" i="5"/>
  <c r="I258" i="5"/>
  <c r="M257" i="5"/>
  <c r="L257" i="5"/>
  <c r="K257" i="5"/>
  <c r="J257" i="5"/>
  <c r="I257" i="5"/>
  <c r="M256" i="5"/>
  <c r="L256" i="5"/>
  <c r="K256" i="5"/>
  <c r="J256" i="5"/>
  <c r="I256" i="5"/>
  <c r="M255" i="5"/>
  <c r="L255" i="5"/>
  <c r="K255" i="5"/>
  <c r="J255" i="5"/>
  <c r="I255" i="5"/>
  <c r="M254" i="5"/>
  <c r="L254" i="5"/>
  <c r="K254" i="5"/>
  <c r="J254" i="5"/>
  <c r="I254" i="5"/>
  <c r="M253" i="5"/>
  <c r="L253" i="5"/>
  <c r="K253" i="5"/>
  <c r="J253" i="5"/>
  <c r="I253" i="5"/>
  <c r="M252" i="5"/>
  <c r="L252" i="5"/>
  <c r="K252" i="5"/>
  <c r="J252" i="5"/>
  <c r="I252" i="5"/>
  <c r="M251" i="5"/>
  <c r="L251" i="5"/>
  <c r="K251" i="5"/>
  <c r="J251" i="5"/>
  <c r="I251" i="5"/>
  <c r="M250" i="5"/>
  <c r="L250" i="5"/>
  <c r="K250" i="5"/>
  <c r="J250" i="5"/>
  <c r="I250" i="5"/>
  <c r="M249" i="5"/>
  <c r="L249" i="5"/>
  <c r="K249" i="5"/>
  <c r="J249" i="5"/>
  <c r="I249" i="5"/>
  <c r="M248" i="5"/>
  <c r="L248" i="5"/>
  <c r="K248" i="5"/>
  <c r="J248" i="5"/>
  <c r="I248" i="5"/>
  <c r="M247" i="5"/>
  <c r="L247" i="5"/>
  <c r="K247" i="5"/>
  <c r="J247" i="5"/>
  <c r="I247" i="5"/>
  <c r="M246" i="5"/>
  <c r="L246" i="5"/>
  <c r="K246" i="5"/>
  <c r="J246" i="5"/>
  <c r="I246" i="5"/>
  <c r="M245" i="5"/>
  <c r="L245" i="5"/>
  <c r="K245" i="5"/>
  <c r="J245" i="5"/>
  <c r="I245" i="5"/>
  <c r="M244" i="5"/>
  <c r="L244" i="5"/>
  <c r="K244" i="5"/>
  <c r="J244" i="5"/>
  <c r="I244" i="5"/>
  <c r="M243" i="5"/>
  <c r="L243" i="5"/>
  <c r="K243" i="5"/>
  <c r="J243" i="5"/>
  <c r="I243" i="5"/>
  <c r="M242" i="5"/>
  <c r="L242" i="5"/>
  <c r="K242" i="5"/>
  <c r="J242" i="5"/>
  <c r="I242" i="5"/>
  <c r="M241" i="5"/>
  <c r="L241" i="5"/>
  <c r="K241" i="5"/>
  <c r="J241" i="5"/>
  <c r="I241" i="5"/>
  <c r="M240" i="5"/>
  <c r="L240" i="5"/>
  <c r="K240" i="5"/>
  <c r="J240" i="5"/>
  <c r="I240" i="5"/>
  <c r="M239" i="5"/>
  <c r="L239" i="5"/>
  <c r="K239" i="5"/>
  <c r="J239" i="5"/>
  <c r="I239" i="5"/>
  <c r="M238" i="5"/>
  <c r="L238" i="5"/>
  <c r="K238" i="5"/>
  <c r="J238" i="5"/>
  <c r="I238" i="5"/>
  <c r="M237" i="5"/>
  <c r="L237" i="5"/>
  <c r="K237" i="5"/>
  <c r="J237" i="5"/>
  <c r="I237" i="5"/>
  <c r="M236" i="5"/>
  <c r="L236" i="5"/>
  <c r="K236" i="5"/>
  <c r="J236" i="5"/>
  <c r="I236" i="5"/>
  <c r="M235" i="5"/>
  <c r="L235" i="5"/>
  <c r="K235" i="5"/>
  <c r="J235" i="5"/>
  <c r="I235" i="5"/>
  <c r="M234" i="5"/>
  <c r="L234" i="5"/>
  <c r="K234" i="5"/>
  <c r="J234" i="5"/>
  <c r="I234" i="5"/>
  <c r="M233" i="5"/>
  <c r="L233" i="5"/>
  <c r="K233" i="5"/>
  <c r="J233" i="5"/>
  <c r="I233" i="5"/>
  <c r="M232" i="5"/>
  <c r="L232" i="5"/>
  <c r="K232" i="5"/>
  <c r="J232" i="5"/>
  <c r="I232" i="5"/>
  <c r="M231" i="5"/>
  <c r="L231" i="5"/>
  <c r="K231" i="5"/>
  <c r="J231" i="5"/>
  <c r="I231" i="5"/>
  <c r="M230" i="5"/>
  <c r="L230" i="5"/>
  <c r="K230" i="5"/>
  <c r="J230" i="5"/>
  <c r="I230" i="5"/>
  <c r="M229" i="5"/>
  <c r="L229" i="5"/>
  <c r="K229" i="5"/>
  <c r="J229" i="5"/>
  <c r="I229" i="5"/>
  <c r="M228" i="5"/>
  <c r="L228" i="5"/>
  <c r="K228" i="5"/>
  <c r="J228" i="5"/>
  <c r="I228" i="5"/>
  <c r="M227" i="5"/>
  <c r="L227" i="5"/>
  <c r="K227" i="5"/>
  <c r="J227" i="5"/>
  <c r="I227" i="5"/>
  <c r="M226" i="5"/>
  <c r="L226" i="5"/>
  <c r="K226" i="5"/>
  <c r="J226" i="5"/>
  <c r="I226" i="5"/>
  <c r="M225" i="5"/>
  <c r="L225" i="5"/>
  <c r="K225" i="5"/>
  <c r="J225" i="5"/>
  <c r="I225" i="5"/>
  <c r="M224" i="5"/>
  <c r="L224" i="5"/>
  <c r="K224" i="5"/>
  <c r="J224" i="5"/>
  <c r="I224" i="5"/>
  <c r="M223" i="5"/>
  <c r="L223" i="5"/>
  <c r="K223" i="5"/>
  <c r="J223" i="5"/>
  <c r="I223" i="5"/>
  <c r="M222" i="5"/>
  <c r="L222" i="5"/>
  <c r="K222" i="5"/>
  <c r="J222" i="5"/>
  <c r="I222" i="5"/>
  <c r="M221" i="5"/>
  <c r="L221" i="5"/>
  <c r="K221" i="5"/>
  <c r="J221" i="5"/>
  <c r="I221" i="5"/>
  <c r="M220" i="5"/>
  <c r="L220" i="5"/>
  <c r="K220" i="5"/>
  <c r="J220" i="5"/>
  <c r="I220" i="5"/>
  <c r="M219" i="5"/>
  <c r="L219" i="5"/>
  <c r="K219" i="5"/>
  <c r="J219" i="5"/>
  <c r="I219" i="5"/>
  <c r="M218" i="5"/>
  <c r="L218" i="5"/>
  <c r="K218" i="5"/>
  <c r="J218" i="5"/>
  <c r="I218" i="5"/>
  <c r="M217" i="5"/>
  <c r="L217" i="5"/>
  <c r="K217" i="5"/>
  <c r="J217" i="5"/>
  <c r="I217" i="5"/>
  <c r="M216" i="5"/>
  <c r="L216" i="5"/>
  <c r="K216" i="5"/>
  <c r="J216" i="5"/>
  <c r="I216" i="5"/>
  <c r="M215" i="5"/>
  <c r="L215" i="5"/>
  <c r="K215" i="5"/>
  <c r="J215" i="5"/>
  <c r="I215" i="5"/>
  <c r="M214" i="5"/>
  <c r="L214" i="5"/>
  <c r="K214" i="5"/>
  <c r="J214" i="5"/>
  <c r="I214" i="5"/>
  <c r="M213" i="5"/>
  <c r="L213" i="5"/>
  <c r="K213" i="5"/>
  <c r="J213" i="5"/>
  <c r="I213" i="5"/>
  <c r="M212" i="5"/>
  <c r="L212" i="5"/>
  <c r="K212" i="5"/>
  <c r="J212" i="5"/>
  <c r="I212" i="5"/>
  <c r="M211" i="5"/>
  <c r="L211" i="5"/>
  <c r="K211" i="5"/>
  <c r="J211" i="5"/>
  <c r="I211" i="5"/>
  <c r="M210" i="5"/>
  <c r="L210" i="5"/>
  <c r="K210" i="5"/>
  <c r="J210" i="5"/>
  <c r="I210" i="5"/>
  <c r="M209" i="5"/>
  <c r="L209" i="5"/>
  <c r="K209" i="5"/>
  <c r="J209" i="5"/>
  <c r="I209" i="5"/>
  <c r="M208" i="5"/>
  <c r="L208" i="5"/>
  <c r="K208" i="5"/>
  <c r="J208" i="5"/>
  <c r="I208" i="5"/>
  <c r="M207" i="5"/>
  <c r="L207" i="5"/>
  <c r="K207" i="5"/>
  <c r="J207" i="5"/>
  <c r="I207" i="5"/>
  <c r="M206" i="5"/>
  <c r="L206" i="5"/>
  <c r="K206" i="5"/>
  <c r="J206" i="5"/>
  <c r="I206" i="5"/>
  <c r="M205" i="5"/>
  <c r="L205" i="5"/>
  <c r="K205" i="5"/>
  <c r="J205" i="5"/>
  <c r="I205" i="5"/>
  <c r="M204" i="5"/>
  <c r="L204" i="5"/>
  <c r="K204" i="5"/>
  <c r="J204" i="5"/>
  <c r="I204" i="5"/>
  <c r="M203" i="5"/>
  <c r="L203" i="5"/>
  <c r="K203" i="5"/>
  <c r="J203" i="5"/>
  <c r="I203" i="5"/>
  <c r="M202" i="5"/>
  <c r="L202" i="5"/>
  <c r="K202" i="5"/>
  <c r="J202" i="5"/>
  <c r="I202" i="5"/>
  <c r="M201" i="5"/>
  <c r="L201" i="5"/>
  <c r="K201" i="5"/>
  <c r="J201" i="5"/>
  <c r="I201" i="5"/>
  <c r="M200" i="5"/>
  <c r="L200" i="5"/>
  <c r="K200" i="5"/>
  <c r="J200" i="5"/>
  <c r="I200" i="5"/>
  <c r="M199" i="5"/>
  <c r="L199" i="5"/>
  <c r="K199" i="5"/>
  <c r="J199" i="5"/>
  <c r="I199" i="5"/>
  <c r="M198" i="5"/>
  <c r="L198" i="5"/>
  <c r="K198" i="5"/>
  <c r="J198" i="5"/>
  <c r="I198" i="5"/>
  <c r="M197" i="5"/>
  <c r="L197" i="5"/>
  <c r="K197" i="5"/>
  <c r="J197" i="5"/>
  <c r="I197" i="5"/>
  <c r="M196" i="5"/>
  <c r="L196" i="5"/>
  <c r="K196" i="5"/>
  <c r="J196" i="5"/>
  <c r="I196" i="5"/>
  <c r="M195" i="5"/>
  <c r="L195" i="5"/>
  <c r="K195" i="5"/>
  <c r="J195" i="5"/>
  <c r="I195" i="5"/>
  <c r="M194" i="5"/>
  <c r="L194" i="5"/>
  <c r="K194" i="5"/>
  <c r="J194" i="5"/>
  <c r="I194" i="5"/>
  <c r="M193" i="5"/>
  <c r="L193" i="5"/>
  <c r="K193" i="5"/>
  <c r="J193" i="5"/>
  <c r="I193" i="5"/>
  <c r="M192" i="5"/>
  <c r="L192" i="5"/>
  <c r="K192" i="5"/>
  <c r="J192" i="5"/>
  <c r="I192" i="5"/>
  <c r="M191" i="5"/>
  <c r="L191" i="5"/>
  <c r="K191" i="5"/>
  <c r="J191" i="5"/>
  <c r="I191" i="5"/>
  <c r="M190" i="5"/>
  <c r="L190" i="5"/>
  <c r="K190" i="5"/>
  <c r="J190" i="5"/>
  <c r="I190" i="5"/>
  <c r="M189" i="5"/>
  <c r="L189" i="5"/>
  <c r="K189" i="5"/>
  <c r="J189" i="5"/>
  <c r="I189" i="5"/>
  <c r="M188" i="5"/>
  <c r="L188" i="5"/>
  <c r="K188" i="5"/>
  <c r="J188" i="5"/>
  <c r="I188" i="5"/>
  <c r="M187" i="5"/>
  <c r="L187" i="5"/>
  <c r="K187" i="5"/>
  <c r="J187" i="5"/>
  <c r="I187" i="5"/>
  <c r="M186" i="5"/>
  <c r="L186" i="5"/>
  <c r="K186" i="5"/>
  <c r="J186" i="5"/>
  <c r="I186" i="5"/>
  <c r="M185" i="5"/>
  <c r="L185" i="5"/>
  <c r="K185" i="5"/>
  <c r="J185" i="5"/>
  <c r="I185" i="5"/>
  <c r="M184" i="5"/>
  <c r="L184" i="5"/>
  <c r="K184" i="5"/>
  <c r="J184" i="5"/>
  <c r="I184" i="5"/>
  <c r="M183" i="5"/>
  <c r="L183" i="5"/>
  <c r="K183" i="5"/>
  <c r="J183" i="5"/>
  <c r="I183" i="5"/>
  <c r="M182" i="5"/>
  <c r="L182" i="5"/>
  <c r="K182" i="5"/>
  <c r="J182" i="5"/>
  <c r="I182" i="5"/>
  <c r="M181" i="5"/>
  <c r="L181" i="5"/>
  <c r="K181" i="5"/>
  <c r="J181" i="5"/>
  <c r="I181" i="5"/>
  <c r="M180" i="5"/>
  <c r="L180" i="5"/>
  <c r="K180" i="5"/>
  <c r="J180" i="5"/>
  <c r="I180" i="5"/>
  <c r="M179" i="5"/>
  <c r="L179" i="5"/>
  <c r="K179" i="5"/>
  <c r="J179" i="5"/>
  <c r="I179" i="5"/>
  <c r="M178" i="5"/>
  <c r="L178" i="5"/>
  <c r="K178" i="5"/>
  <c r="J178" i="5"/>
  <c r="I178" i="5"/>
  <c r="M177" i="5"/>
  <c r="L177" i="5"/>
  <c r="K177" i="5"/>
  <c r="J177" i="5"/>
  <c r="I177" i="5"/>
  <c r="M176" i="5"/>
  <c r="L176" i="5"/>
  <c r="K176" i="5"/>
  <c r="J176" i="5"/>
  <c r="I176" i="5"/>
  <c r="M175" i="5"/>
  <c r="L175" i="5"/>
  <c r="K175" i="5"/>
  <c r="J175" i="5"/>
  <c r="I175" i="5"/>
  <c r="M174" i="5"/>
  <c r="L174" i="5"/>
  <c r="K174" i="5"/>
  <c r="J174" i="5"/>
  <c r="I174" i="5"/>
  <c r="M173" i="5"/>
  <c r="L173" i="5"/>
  <c r="K173" i="5"/>
  <c r="J173" i="5"/>
  <c r="I173" i="5"/>
  <c r="M172" i="5"/>
  <c r="L172" i="5"/>
  <c r="K172" i="5"/>
  <c r="J172" i="5"/>
  <c r="I172" i="5"/>
  <c r="M171" i="5"/>
  <c r="L171" i="5"/>
  <c r="K171" i="5"/>
  <c r="J171" i="5"/>
  <c r="I171" i="5"/>
  <c r="M170" i="5"/>
  <c r="L170" i="5"/>
  <c r="K170" i="5"/>
  <c r="J170" i="5"/>
  <c r="I170" i="5"/>
  <c r="M169" i="5"/>
  <c r="L169" i="5"/>
  <c r="K169" i="5"/>
  <c r="J169" i="5"/>
  <c r="I169" i="5"/>
  <c r="M168" i="5"/>
  <c r="L168" i="5"/>
  <c r="K168" i="5"/>
  <c r="J168" i="5"/>
  <c r="I168" i="5"/>
  <c r="M167" i="5"/>
  <c r="L167" i="5"/>
  <c r="K167" i="5"/>
  <c r="J167" i="5"/>
  <c r="I167" i="5"/>
  <c r="M166" i="5"/>
  <c r="L166" i="5"/>
  <c r="K166" i="5"/>
  <c r="J166" i="5"/>
  <c r="I166" i="5"/>
  <c r="M165" i="5"/>
  <c r="L165" i="5"/>
  <c r="K165" i="5"/>
  <c r="J165" i="5"/>
  <c r="I165" i="5"/>
  <c r="M164" i="5"/>
  <c r="L164" i="5"/>
  <c r="K164" i="5"/>
  <c r="J164" i="5"/>
  <c r="I164" i="5"/>
  <c r="M163" i="5"/>
  <c r="L163" i="5"/>
  <c r="K163" i="5"/>
  <c r="J163" i="5"/>
  <c r="I163" i="5"/>
  <c r="M162" i="5"/>
  <c r="L162" i="5"/>
  <c r="K162" i="5"/>
  <c r="J162" i="5"/>
  <c r="I162" i="5"/>
  <c r="M161" i="5"/>
  <c r="L161" i="5"/>
  <c r="K161" i="5"/>
  <c r="J161" i="5"/>
  <c r="I161" i="5"/>
  <c r="M160" i="5"/>
  <c r="L160" i="5"/>
  <c r="K160" i="5"/>
  <c r="J160" i="5"/>
  <c r="I160" i="5"/>
  <c r="M159" i="5"/>
  <c r="L159" i="5"/>
  <c r="K159" i="5"/>
  <c r="J159" i="5"/>
  <c r="I159" i="5"/>
  <c r="M158" i="5"/>
  <c r="L158" i="5"/>
  <c r="K158" i="5"/>
  <c r="J158" i="5"/>
  <c r="I158" i="5"/>
  <c r="M157" i="5"/>
  <c r="L157" i="5"/>
  <c r="K157" i="5"/>
  <c r="J157" i="5"/>
  <c r="I157" i="5"/>
  <c r="M156" i="5"/>
  <c r="L156" i="5"/>
  <c r="K156" i="5"/>
  <c r="J156" i="5"/>
  <c r="I156" i="5"/>
  <c r="M155" i="5"/>
  <c r="L155" i="5"/>
  <c r="K155" i="5"/>
  <c r="J155" i="5"/>
  <c r="I155" i="5"/>
  <c r="M154" i="5"/>
  <c r="L154" i="5"/>
  <c r="K154" i="5"/>
  <c r="J154" i="5"/>
  <c r="I154" i="5"/>
  <c r="M153" i="5"/>
  <c r="L153" i="5"/>
  <c r="K153" i="5"/>
  <c r="J153" i="5"/>
  <c r="I153" i="5"/>
  <c r="M152" i="5"/>
  <c r="L152" i="5"/>
  <c r="K152" i="5"/>
  <c r="J152" i="5"/>
  <c r="I152" i="5"/>
  <c r="M151" i="5"/>
  <c r="L151" i="5"/>
  <c r="K151" i="5"/>
  <c r="J151" i="5"/>
  <c r="I151" i="5"/>
  <c r="M150" i="5"/>
  <c r="L150" i="5"/>
  <c r="K150" i="5"/>
  <c r="J150" i="5"/>
  <c r="I150" i="5"/>
  <c r="M149" i="5"/>
  <c r="L149" i="5"/>
  <c r="K149" i="5"/>
  <c r="J149" i="5"/>
  <c r="I149" i="5"/>
  <c r="M148" i="5"/>
  <c r="L148" i="5"/>
  <c r="K148" i="5"/>
  <c r="J148" i="5"/>
  <c r="I148" i="5"/>
  <c r="M147" i="5"/>
  <c r="L147" i="5"/>
  <c r="K147" i="5"/>
  <c r="J147" i="5"/>
  <c r="I147" i="5"/>
  <c r="M146" i="5"/>
  <c r="L146" i="5"/>
  <c r="K146" i="5"/>
  <c r="J146" i="5"/>
  <c r="I146" i="5"/>
  <c r="M145" i="5"/>
  <c r="L145" i="5"/>
  <c r="K145" i="5"/>
  <c r="J145" i="5"/>
  <c r="I145" i="5"/>
  <c r="M144" i="5"/>
  <c r="L144" i="5"/>
  <c r="K144" i="5"/>
  <c r="J144" i="5"/>
  <c r="I144" i="5"/>
  <c r="M143" i="5"/>
  <c r="L143" i="5"/>
  <c r="K143" i="5"/>
  <c r="J143" i="5"/>
  <c r="I143" i="5"/>
  <c r="M142" i="5"/>
  <c r="L142" i="5"/>
  <c r="K142" i="5"/>
  <c r="J142" i="5"/>
  <c r="I142" i="5"/>
  <c r="M141" i="5"/>
  <c r="L141" i="5"/>
  <c r="K141" i="5"/>
  <c r="J141" i="5"/>
  <c r="I141" i="5"/>
  <c r="M140" i="5"/>
  <c r="L140" i="5"/>
  <c r="K140" i="5"/>
  <c r="J140" i="5"/>
  <c r="I140" i="5"/>
  <c r="M139" i="5"/>
  <c r="L139" i="5"/>
  <c r="K139" i="5"/>
  <c r="J139" i="5"/>
  <c r="I139" i="5"/>
  <c r="M138" i="5"/>
  <c r="L138" i="5"/>
  <c r="K138" i="5"/>
  <c r="J138" i="5"/>
  <c r="I138" i="5"/>
  <c r="M137" i="5"/>
  <c r="L137" i="5"/>
  <c r="K137" i="5"/>
  <c r="J137" i="5"/>
  <c r="I137" i="5"/>
  <c r="M136" i="5"/>
  <c r="L136" i="5"/>
  <c r="K136" i="5"/>
  <c r="J136" i="5"/>
  <c r="I136" i="5"/>
  <c r="M135" i="5"/>
  <c r="L135" i="5"/>
  <c r="K135" i="5"/>
  <c r="J135" i="5"/>
  <c r="I135" i="5"/>
  <c r="M134" i="5"/>
  <c r="L134" i="5"/>
  <c r="K134" i="5"/>
  <c r="J134" i="5"/>
  <c r="I134" i="5"/>
  <c r="M133" i="5"/>
  <c r="L133" i="5"/>
  <c r="K133" i="5"/>
  <c r="J133" i="5"/>
  <c r="I133" i="5"/>
  <c r="M132" i="5"/>
  <c r="L132" i="5"/>
  <c r="K132" i="5"/>
  <c r="J132" i="5"/>
  <c r="I132" i="5"/>
  <c r="M131" i="5"/>
  <c r="L131" i="5"/>
  <c r="K131" i="5"/>
  <c r="J131" i="5"/>
  <c r="I131" i="5"/>
  <c r="M130" i="5"/>
  <c r="L130" i="5"/>
  <c r="K130" i="5"/>
  <c r="J130" i="5"/>
  <c r="I130" i="5"/>
  <c r="M129" i="5"/>
  <c r="L129" i="5"/>
  <c r="K129" i="5"/>
  <c r="J129" i="5"/>
  <c r="I129" i="5"/>
  <c r="M128" i="5"/>
  <c r="L128" i="5"/>
  <c r="K128" i="5"/>
  <c r="J128" i="5"/>
  <c r="I128" i="5"/>
  <c r="M127" i="5"/>
  <c r="L127" i="5"/>
  <c r="K127" i="5"/>
  <c r="J127" i="5"/>
  <c r="I127" i="5"/>
  <c r="M126" i="5"/>
  <c r="L126" i="5"/>
  <c r="K126" i="5"/>
  <c r="J126" i="5"/>
  <c r="I126" i="5"/>
  <c r="M125" i="5"/>
  <c r="L125" i="5"/>
  <c r="K125" i="5"/>
  <c r="J125" i="5"/>
  <c r="I125" i="5"/>
  <c r="M124" i="5"/>
  <c r="L124" i="5"/>
  <c r="K124" i="5"/>
  <c r="J124" i="5"/>
  <c r="I124" i="5"/>
  <c r="M123" i="5"/>
  <c r="L123" i="5"/>
  <c r="K123" i="5"/>
  <c r="J123" i="5"/>
  <c r="I123" i="5"/>
  <c r="M122" i="5"/>
  <c r="L122" i="5"/>
  <c r="K122" i="5"/>
  <c r="J122" i="5"/>
  <c r="I122" i="5"/>
  <c r="M121" i="5"/>
  <c r="L121" i="5"/>
  <c r="K121" i="5"/>
  <c r="J121" i="5"/>
  <c r="I121" i="5"/>
  <c r="M120" i="5"/>
  <c r="L120" i="5"/>
  <c r="K120" i="5"/>
  <c r="J120" i="5"/>
  <c r="I120" i="5"/>
  <c r="M119" i="5"/>
  <c r="L119" i="5"/>
  <c r="K119" i="5"/>
  <c r="J119" i="5"/>
  <c r="I119" i="5"/>
  <c r="M118" i="5"/>
  <c r="L118" i="5"/>
  <c r="K118" i="5"/>
  <c r="J118" i="5"/>
  <c r="I118" i="5"/>
  <c r="M117" i="5"/>
  <c r="L117" i="5"/>
  <c r="K117" i="5"/>
  <c r="J117" i="5"/>
  <c r="I117" i="5"/>
  <c r="M116" i="5"/>
  <c r="L116" i="5"/>
  <c r="K116" i="5"/>
  <c r="J116" i="5"/>
  <c r="I116" i="5"/>
  <c r="M115" i="5"/>
  <c r="L115" i="5"/>
  <c r="K115" i="5"/>
  <c r="J115" i="5"/>
  <c r="I115" i="5"/>
  <c r="M114" i="5"/>
  <c r="L114" i="5"/>
  <c r="K114" i="5"/>
  <c r="J114" i="5"/>
  <c r="I114" i="5"/>
  <c r="M113" i="5"/>
  <c r="L113" i="5"/>
  <c r="K113" i="5"/>
  <c r="J113" i="5"/>
  <c r="I113" i="5"/>
  <c r="M112" i="5"/>
  <c r="L112" i="5"/>
  <c r="K112" i="5"/>
  <c r="J112" i="5"/>
  <c r="I112" i="5"/>
  <c r="M111" i="5"/>
  <c r="L111" i="5"/>
  <c r="K111" i="5"/>
  <c r="J111" i="5"/>
  <c r="I111" i="5"/>
  <c r="M110" i="5"/>
  <c r="L110" i="5"/>
  <c r="K110" i="5"/>
  <c r="J110" i="5"/>
  <c r="I110" i="5"/>
  <c r="M109" i="5"/>
  <c r="L109" i="5"/>
  <c r="K109" i="5"/>
  <c r="J109" i="5"/>
  <c r="I109" i="5"/>
  <c r="M108" i="5"/>
  <c r="L108" i="5"/>
  <c r="K108" i="5"/>
  <c r="J108" i="5"/>
  <c r="I108" i="5"/>
  <c r="M107" i="5"/>
  <c r="L107" i="5"/>
  <c r="K107" i="5"/>
  <c r="J107" i="5"/>
  <c r="I107" i="5"/>
  <c r="M106" i="5"/>
  <c r="L106" i="5"/>
  <c r="K106" i="5"/>
  <c r="J106" i="5"/>
  <c r="I106" i="5"/>
  <c r="M105" i="5"/>
  <c r="L105" i="5"/>
  <c r="K105" i="5"/>
  <c r="J105" i="5"/>
  <c r="I105" i="5"/>
  <c r="M104" i="5"/>
  <c r="L104" i="5"/>
  <c r="K104" i="5"/>
  <c r="J104" i="5"/>
  <c r="I104" i="5"/>
  <c r="M103" i="5"/>
  <c r="L103" i="5"/>
  <c r="K103" i="5"/>
  <c r="J103" i="5"/>
  <c r="I103" i="5"/>
  <c r="M102" i="5"/>
  <c r="L102" i="5"/>
  <c r="K102" i="5"/>
  <c r="J102" i="5"/>
  <c r="I102" i="5"/>
  <c r="M101" i="5"/>
  <c r="L101" i="5"/>
  <c r="K101" i="5"/>
  <c r="J101" i="5"/>
  <c r="I101" i="5"/>
  <c r="M100" i="5"/>
  <c r="L100" i="5"/>
  <c r="K100" i="5"/>
  <c r="J100" i="5"/>
  <c r="I100" i="5"/>
  <c r="M99" i="5"/>
  <c r="L99" i="5"/>
  <c r="K99" i="5"/>
  <c r="J99" i="5"/>
  <c r="I99" i="5"/>
  <c r="M98" i="5"/>
  <c r="L98" i="5"/>
  <c r="K98" i="5"/>
  <c r="J98" i="5"/>
  <c r="I98" i="5"/>
  <c r="M97" i="5"/>
  <c r="L97" i="5"/>
  <c r="K97" i="5"/>
  <c r="J97" i="5"/>
  <c r="I97" i="5"/>
  <c r="M96" i="5"/>
  <c r="L96" i="5"/>
  <c r="K96" i="5"/>
  <c r="J96" i="5"/>
  <c r="I96" i="5"/>
  <c r="M95" i="5"/>
  <c r="L95" i="5"/>
  <c r="K95" i="5"/>
  <c r="J95" i="5"/>
  <c r="I95" i="5"/>
  <c r="M94" i="5"/>
  <c r="L94" i="5"/>
  <c r="K94" i="5"/>
  <c r="J94" i="5"/>
  <c r="I94" i="5"/>
  <c r="M93" i="5"/>
  <c r="L93" i="5"/>
  <c r="K93" i="5"/>
  <c r="J93" i="5"/>
  <c r="I93" i="5"/>
  <c r="M92" i="5"/>
  <c r="L92" i="5"/>
  <c r="K92" i="5"/>
  <c r="J92" i="5"/>
  <c r="I92" i="5"/>
  <c r="M91" i="5"/>
  <c r="L91" i="5"/>
  <c r="K91" i="5"/>
  <c r="J91" i="5"/>
  <c r="I91" i="5"/>
  <c r="M90" i="5"/>
  <c r="L90" i="5"/>
  <c r="K90" i="5"/>
  <c r="J90" i="5"/>
  <c r="I90" i="5"/>
  <c r="M89" i="5"/>
  <c r="L89" i="5"/>
  <c r="K89" i="5"/>
  <c r="J89" i="5"/>
  <c r="I89" i="5"/>
  <c r="M88" i="5"/>
  <c r="L88" i="5"/>
  <c r="K88" i="5"/>
  <c r="J88" i="5"/>
  <c r="I88" i="5"/>
  <c r="M87" i="5"/>
  <c r="L87" i="5"/>
  <c r="K87" i="5"/>
  <c r="J87" i="5"/>
  <c r="I87" i="5"/>
  <c r="M86" i="5"/>
  <c r="L86" i="5"/>
  <c r="K86" i="5"/>
  <c r="J86" i="5"/>
  <c r="I86" i="5"/>
  <c r="M85" i="5"/>
  <c r="L85" i="5"/>
  <c r="K85" i="5"/>
  <c r="J85" i="5"/>
  <c r="I85" i="5"/>
  <c r="M84" i="5"/>
  <c r="L84" i="5"/>
  <c r="K84" i="5"/>
  <c r="J84" i="5"/>
  <c r="I84" i="5"/>
  <c r="M83" i="5"/>
  <c r="L83" i="5"/>
  <c r="K83" i="5"/>
  <c r="J83" i="5"/>
  <c r="I83" i="5"/>
  <c r="M82" i="5"/>
  <c r="L82" i="5"/>
  <c r="K82" i="5"/>
  <c r="J82" i="5"/>
  <c r="I82" i="5"/>
  <c r="M81" i="5"/>
  <c r="L81" i="5"/>
  <c r="K81" i="5"/>
  <c r="J81" i="5"/>
  <c r="I81" i="5"/>
  <c r="M80" i="5"/>
  <c r="L80" i="5"/>
  <c r="K80" i="5"/>
  <c r="J80" i="5"/>
  <c r="I80" i="5"/>
  <c r="M79" i="5"/>
  <c r="L79" i="5"/>
  <c r="K79" i="5"/>
  <c r="J79" i="5"/>
  <c r="I79" i="5"/>
  <c r="M78" i="5"/>
  <c r="L78" i="5"/>
  <c r="K78" i="5"/>
  <c r="J78" i="5"/>
  <c r="I78" i="5"/>
  <c r="M77" i="5"/>
  <c r="L77" i="5"/>
  <c r="K77" i="5"/>
  <c r="J77" i="5"/>
  <c r="I77" i="5"/>
  <c r="M76" i="5"/>
  <c r="L76" i="5"/>
  <c r="K76" i="5"/>
  <c r="J76" i="5"/>
  <c r="I76" i="5"/>
  <c r="M75" i="5"/>
  <c r="L75" i="5"/>
  <c r="K75" i="5"/>
  <c r="J75" i="5"/>
  <c r="I75" i="5"/>
  <c r="M74" i="5"/>
  <c r="L74" i="5"/>
  <c r="K74" i="5"/>
  <c r="J74" i="5"/>
  <c r="I74" i="5"/>
  <c r="M73" i="5"/>
  <c r="L73" i="5"/>
  <c r="K73" i="5"/>
  <c r="J73" i="5"/>
  <c r="I73" i="5"/>
  <c r="M72" i="5"/>
  <c r="L72" i="5"/>
  <c r="K72" i="5"/>
  <c r="J72" i="5"/>
  <c r="I72" i="5"/>
  <c r="M71" i="5"/>
  <c r="L71" i="5"/>
  <c r="K71" i="5"/>
  <c r="J71" i="5"/>
  <c r="I71" i="5"/>
  <c r="M70" i="5"/>
  <c r="L70" i="5"/>
  <c r="K70" i="5"/>
  <c r="J70" i="5"/>
  <c r="I70" i="5"/>
  <c r="M69" i="5"/>
  <c r="L69" i="5"/>
  <c r="K69" i="5"/>
  <c r="J69" i="5"/>
  <c r="I69" i="5"/>
  <c r="M68" i="5"/>
  <c r="L68" i="5"/>
  <c r="K68" i="5"/>
  <c r="J68" i="5"/>
  <c r="I68" i="5"/>
  <c r="M67" i="5"/>
  <c r="L67" i="5"/>
  <c r="K67" i="5"/>
  <c r="J67" i="5"/>
  <c r="I67" i="5"/>
  <c r="M66" i="5"/>
  <c r="L66" i="5"/>
  <c r="K66" i="5"/>
  <c r="J66" i="5"/>
  <c r="I66" i="5"/>
  <c r="M65" i="5"/>
  <c r="L65" i="5"/>
  <c r="K65" i="5"/>
  <c r="J65" i="5"/>
  <c r="I65" i="5"/>
  <c r="M64" i="5"/>
  <c r="L64" i="5"/>
  <c r="K64" i="5"/>
  <c r="J64" i="5"/>
  <c r="I64" i="5"/>
  <c r="M63" i="5"/>
  <c r="L63" i="5"/>
  <c r="K63" i="5"/>
  <c r="J63" i="5"/>
  <c r="I63" i="5"/>
  <c r="M62" i="5"/>
  <c r="L62" i="5"/>
  <c r="K62" i="5"/>
  <c r="J62" i="5"/>
  <c r="I62" i="5"/>
  <c r="M61" i="5"/>
  <c r="L61" i="5"/>
  <c r="K61" i="5"/>
  <c r="J61" i="5"/>
  <c r="I61" i="5"/>
  <c r="M60" i="5"/>
  <c r="L60" i="5"/>
  <c r="K60" i="5"/>
  <c r="J60" i="5"/>
  <c r="I60" i="5"/>
  <c r="M59" i="5"/>
  <c r="L59" i="5"/>
  <c r="K59" i="5"/>
  <c r="J59" i="5"/>
  <c r="I59" i="5"/>
  <c r="M58" i="5"/>
  <c r="L58" i="5"/>
  <c r="K58" i="5"/>
  <c r="J58" i="5"/>
  <c r="I58" i="5"/>
  <c r="M57" i="5"/>
  <c r="L57" i="5"/>
  <c r="K57" i="5"/>
  <c r="J57" i="5"/>
  <c r="I57" i="5"/>
  <c r="M56" i="5"/>
  <c r="L56" i="5"/>
  <c r="K56" i="5"/>
  <c r="J56" i="5"/>
  <c r="I56" i="5"/>
  <c r="M55" i="5"/>
  <c r="L55" i="5"/>
  <c r="K55" i="5"/>
  <c r="J55" i="5"/>
  <c r="I55" i="5"/>
  <c r="M54" i="5"/>
  <c r="L54" i="5"/>
  <c r="K54" i="5"/>
  <c r="J54" i="5"/>
  <c r="I54" i="5"/>
  <c r="M53" i="5"/>
  <c r="L53" i="5"/>
  <c r="K53" i="5"/>
  <c r="J53" i="5"/>
  <c r="I53" i="5"/>
  <c r="M52" i="5"/>
  <c r="L52" i="5"/>
  <c r="K52" i="5"/>
  <c r="J52" i="5"/>
  <c r="I52" i="5"/>
  <c r="M51" i="5"/>
  <c r="L51" i="5"/>
  <c r="K51" i="5"/>
  <c r="J51" i="5"/>
  <c r="I51" i="5"/>
  <c r="M50" i="5"/>
  <c r="L50" i="5"/>
  <c r="K50" i="5"/>
  <c r="J50" i="5"/>
  <c r="I50" i="5"/>
  <c r="M49" i="5"/>
  <c r="L49" i="5"/>
  <c r="K49" i="5"/>
  <c r="J49" i="5"/>
  <c r="I49" i="5"/>
  <c r="M48" i="5"/>
  <c r="L48" i="5"/>
  <c r="K48" i="5"/>
  <c r="J48" i="5"/>
  <c r="I48" i="5"/>
  <c r="M47" i="5"/>
  <c r="L47" i="5"/>
  <c r="K47" i="5"/>
  <c r="J47" i="5"/>
  <c r="I47" i="5"/>
  <c r="M46" i="5"/>
  <c r="L46" i="5"/>
  <c r="K46" i="5"/>
  <c r="J46" i="5"/>
  <c r="I46" i="5"/>
  <c r="M45" i="5"/>
  <c r="L45" i="5"/>
  <c r="K45" i="5"/>
  <c r="J45" i="5"/>
  <c r="I45" i="5"/>
  <c r="M44" i="5"/>
  <c r="L44" i="5"/>
  <c r="K44" i="5"/>
  <c r="J44" i="5"/>
  <c r="I44" i="5"/>
  <c r="M43" i="5"/>
  <c r="L43" i="5"/>
  <c r="K43" i="5"/>
  <c r="J43" i="5"/>
  <c r="I43" i="5"/>
  <c r="M42" i="5"/>
  <c r="L42" i="5"/>
  <c r="K42" i="5"/>
  <c r="J42" i="5"/>
  <c r="I42" i="5"/>
  <c r="M41" i="5"/>
  <c r="L41" i="5"/>
  <c r="K41" i="5"/>
  <c r="J41" i="5"/>
  <c r="I41" i="5"/>
  <c r="M40" i="5"/>
  <c r="L40" i="5"/>
  <c r="K40" i="5"/>
  <c r="J40" i="5"/>
  <c r="I40" i="5"/>
  <c r="M39" i="5"/>
  <c r="L39" i="5"/>
  <c r="K39" i="5"/>
  <c r="J39" i="5"/>
  <c r="I39" i="5"/>
  <c r="M38" i="5"/>
  <c r="L38" i="5"/>
  <c r="K38" i="5"/>
  <c r="J38" i="5"/>
  <c r="I38" i="5"/>
  <c r="M37" i="5"/>
  <c r="L37" i="5"/>
  <c r="K37" i="5"/>
  <c r="J37" i="5"/>
  <c r="I37" i="5"/>
  <c r="M36" i="5"/>
  <c r="L36" i="5"/>
  <c r="K36" i="5"/>
  <c r="J36" i="5"/>
  <c r="I36" i="5"/>
  <c r="M35" i="5"/>
  <c r="L35" i="5"/>
  <c r="K35" i="5"/>
  <c r="J35" i="5"/>
  <c r="I35" i="5"/>
  <c r="M34" i="5"/>
  <c r="L34" i="5"/>
  <c r="K34" i="5"/>
  <c r="J34" i="5"/>
  <c r="I34" i="5"/>
  <c r="M33" i="5"/>
  <c r="L33" i="5"/>
  <c r="K33" i="5"/>
  <c r="J33" i="5"/>
  <c r="I33" i="5"/>
  <c r="M32" i="5"/>
  <c r="L32" i="5"/>
  <c r="K32" i="5"/>
  <c r="J32" i="5"/>
  <c r="I32" i="5"/>
  <c r="M31" i="5"/>
  <c r="L31" i="5"/>
  <c r="K31" i="5"/>
  <c r="J31" i="5"/>
  <c r="I31" i="5"/>
  <c r="M30" i="5"/>
  <c r="L30" i="5"/>
  <c r="K30" i="5"/>
  <c r="J30" i="5"/>
  <c r="I30" i="5"/>
  <c r="M29" i="5"/>
  <c r="L29" i="5"/>
  <c r="K29" i="5"/>
  <c r="J29" i="5"/>
  <c r="I29" i="5"/>
  <c r="M28" i="5"/>
  <c r="L28" i="5"/>
  <c r="K28" i="5"/>
  <c r="J28" i="5"/>
  <c r="I28" i="5"/>
  <c r="M27" i="5"/>
  <c r="L27" i="5"/>
  <c r="K27" i="5"/>
  <c r="J27" i="5"/>
  <c r="I27" i="5"/>
  <c r="M26" i="5"/>
  <c r="L26" i="5"/>
  <c r="K26" i="5"/>
  <c r="J26" i="5"/>
  <c r="I26" i="5"/>
  <c r="M25" i="5"/>
  <c r="L25" i="5"/>
  <c r="K25" i="5"/>
  <c r="J25" i="5"/>
  <c r="I25" i="5"/>
  <c r="M24" i="5"/>
  <c r="L24" i="5"/>
  <c r="K24" i="5"/>
  <c r="J24" i="5"/>
  <c r="I24" i="5"/>
  <c r="M23" i="5"/>
  <c r="L23" i="5"/>
  <c r="K23" i="5"/>
  <c r="J23" i="5"/>
  <c r="I23" i="5"/>
  <c r="M22" i="5"/>
  <c r="L22" i="5"/>
  <c r="K22" i="5"/>
  <c r="J22" i="5"/>
  <c r="I22" i="5"/>
  <c r="M21" i="5"/>
  <c r="L21" i="5"/>
  <c r="K21" i="5"/>
  <c r="J21" i="5"/>
  <c r="I21" i="5"/>
  <c r="M20" i="5"/>
  <c r="L20" i="5"/>
  <c r="K20" i="5"/>
  <c r="J20" i="5"/>
  <c r="I20" i="5"/>
  <c r="M19" i="5"/>
  <c r="L19" i="5"/>
  <c r="K19" i="5"/>
  <c r="J19" i="5"/>
  <c r="I19" i="5"/>
  <c r="M18" i="5"/>
  <c r="L18" i="5"/>
  <c r="K18" i="5"/>
  <c r="J18" i="5"/>
  <c r="I18" i="5"/>
  <c r="M17" i="5"/>
  <c r="L17" i="5"/>
  <c r="K17" i="5"/>
  <c r="J17" i="5"/>
  <c r="I17" i="5"/>
  <c r="M16" i="5"/>
  <c r="L16" i="5"/>
  <c r="K16" i="5"/>
  <c r="J16" i="5"/>
  <c r="I16" i="5"/>
  <c r="M15" i="5"/>
  <c r="L15" i="5"/>
  <c r="K15" i="5"/>
  <c r="J15" i="5"/>
  <c r="I15" i="5"/>
  <c r="M14" i="5"/>
  <c r="L14" i="5"/>
  <c r="K14" i="5"/>
  <c r="J14" i="5"/>
  <c r="I14" i="5"/>
  <c r="M13" i="5"/>
  <c r="L13" i="5"/>
  <c r="K13" i="5"/>
  <c r="J13" i="5"/>
  <c r="I13" i="5"/>
  <c r="M12" i="5"/>
  <c r="L12" i="5"/>
  <c r="K12" i="5"/>
  <c r="J12" i="5"/>
  <c r="I12" i="5"/>
  <c r="M11" i="5"/>
  <c r="L11" i="5"/>
  <c r="K11" i="5"/>
  <c r="J11" i="5"/>
  <c r="I11" i="5"/>
  <c r="M10" i="5"/>
  <c r="L10" i="5"/>
  <c r="K10" i="5"/>
  <c r="J10" i="5"/>
  <c r="I10" i="5"/>
  <c r="L8" i="5"/>
  <c r="B29" i="4"/>
  <c r="E25" i="4"/>
  <c r="C29" i="3"/>
  <c r="C31" i="3" s="1"/>
  <c r="C32" i="3" s="1"/>
  <c r="C12" i="2"/>
  <c r="C11" i="2"/>
  <c r="N113" i="14" l="1"/>
  <c r="M113" i="14"/>
  <c r="L113" i="14"/>
  <c r="J113" i="14"/>
  <c r="H113" i="14"/>
  <c r="F113" i="14"/>
  <c r="D113" i="14"/>
  <c r="I113" i="14"/>
  <c r="G113" i="14"/>
  <c r="E113" i="14"/>
  <c r="P113" i="14"/>
  <c r="O113" i="14"/>
  <c r="K113" i="14"/>
  <c r="I112" i="14"/>
  <c r="G112" i="14"/>
  <c r="E112" i="14"/>
  <c r="D112" i="14"/>
  <c r="F112" i="14"/>
  <c r="H112" i="14"/>
  <c r="J112" i="14"/>
  <c r="O112" i="14"/>
  <c r="N112" i="14"/>
  <c r="M112" i="14"/>
  <c r="L112" i="14"/>
  <c r="K112" i="14"/>
  <c r="P112" i="14"/>
  <c r="P111" i="14"/>
  <c r="O111" i="14"/>
  <c r="E111" i="14"/>
  <c r="G111" i="14"/>
  <c r="I111" i="14"/>
  <c r="N111" i="14"/>
  <c r="M111" i="14"/>
  <c r="K111" i="14"/>
  <c r="L111" i="14"/>
  <c r="J111" i="14"/>
  <c r="H111" i="14"/>
  <c r="F111" i="14"/>
  <c r="D111" i="14"/>
  <c r="M110" i="14"/>
  <c r="J110" i="14"/>
  <c r="L110" i="14"/>
  <c r="N110" i="14"/>
  <c r="K110" i="14"/>
  <c r="I110" i="14"/>
  <c r="F110" i="14"/>
  <c r="D110" i="14"/>
  <c r="G110" i="14"/>
  <c r="E110" i="14"/>
  <c r="H110" i="14"/>
  <c r="O110" i="14"/>
  <c r="P110" i="14"/>
  <c r="I109" i="14"/>
  <c r="P109" i="14"/>
  <c r="N109" i="14"/>
  <c r="L109" i="14"/>
  <c r="J109" i="14"/>
  <c r="H109" i="14"/>
  <c r="F109" i="14"/>
  <c r="D109" i="14"/>
  <c r="G109" i="14"/>
  <c r="K109" i="14"/>
  <c r="O109" i="14"/>
  <c r="M109" i="14"/>
  <c r="E109" i="14"/>
  <c r="I108" i="14"/>
  <c r="G108" i="14"/>
  <c r="D108" i="14"/>
  <c r="F108" i="14"/>
  <c r="E108" i="14"/>
  <c r="L108" i="14"/>
  <c r="N108" i="14"/>
  <c r="J108" i="14"/>
  <c r="H108" i="14"/>
  <c r="P108" i="14"/>
  <c r="O108" i="14"/>
  <c r="M108" i="14"/>
  <c r="K108" i="14"/>
  <c r="O107" i="14"/>
  <c r="M107" i="14"/>
  <c r="L107" i="14"/>
  <c r="G107" i="14"/>
  <c r="E107" i="14"/>
  <c r="I107" i="14"/>
  <c r="H107" i="14"/>
  <c r="J107" i="14"/>
  <c r="N107" i="14"/>
  <c r="P107" i="14"/>
  <c r="D107" i="14"/>
  <c r="F107" i="14"/>
  <c r="K107" i="14"/>
  <c r="F106" i="14"/>
  <c r="I106" i="14"/>
  <c r="L106" i="14"/>
  <c r="H106" i="14"/>
  <c r="P106" i="14"/>
  <c r="K106" i="14"/>
  <c r="D106" i="14"/>
  <c r="G106" i="14"/>
  <c r="N106" i="14"/>
  <c r="E106" i="14"/>
  <c r="J106" i="14"/>
  <c r="M106" i="14"/>
  <c r="O106" i="14"/>
  <c r="P105" i="14"/>
  <c r="M105" i="14"/>
  <c r="D105" i="14"/>
  <c r="O105" i="14"/>
  <c r="E105" i="14"/>
  <c r="G105" i="14"/>
  <c r="L105" i="14"/>
  <c r="I105" i="14"/>
  <c r="J105" i="14"/>
  <c r="H105" i="14"/>
  <c r="K105" i="14"/>
  <c r="N105" i="14"/>
  <c r="F105" i="14"/>
  <c r="O104" i="14"/>
  <c r="M104" i="14"/>
  <c r="I104" i="14"/>
  <c r="F104" i="14"/>
  <c r="K104" i="14"/>
  <c r="P104" i="14"/>
  <c r="J104" i="14"/>
  <c r="G104" i="14"/>
  <c r="D104" i="14"/>
  <c r="N104" i="14"/>
  <c r="L104" i="14"/>
  <c r="H104" i="14"/>
  <c r="E104" i="14"/>
  <c r="L103" i="14"/>
  <c r="I103" i="14"/>
  <c r="F103" i="14"/>
  <c r="D103" i="14"/>
  <c r="K103" i="14"/>
  <c r="M103" i="14"/>
  <c r="O103" i="14"/>
  <c r="H103" i="14"/>
  <c r="P103" i="14"/>
  <c r="N103" i="14"/>
  <c r="J103" i="14"/>
  <c r="G103" i="14"/>
  <c r="M102" i="14"/>
  <c r="K102" i="14"/>
  <c r="H102" i="14"/>
  <c r="E102" i="14"/>
  <c r="O102" i="14"/>
  <c r="N102" i="14"/>
  <c r="L102" i="14"/>
  <c r="I102" i="14"/>
  <c r="F102" i="14"/>
  <c r="J102" i="14"/>
  <c r="P102" i="14"/>
  <c r="G102" i="14"/>
  <c r="D102" i="14"/>
  <c r="P101" i="14"/>
  <c r="N101" i="14"/>
  <c r="L101" i="14"/>
  <c r="J101" i="14"/>
  <c r="H101" i="14"/>
  <c r="F101" i="14"/>
  <c r="E101" i="14"/>
  <c r="O101" i="14"/>
  <c r="D101" i="14"/>
  <c r="M101" i="14"/>
  <c r="K101" i="14"/>
  <c r="I101" i="14"/>
  <c r="G101" i="14"/>
  <c r="P100" i="14"/>
  <c r="N100" i="14"/>
  <c r="D100" i="14"/>
  <c r="E100" i="14"/>
  <c r="G100" i="14"/>
  <c r="I100" i="14"/>
  <c r="F100" i="14"/>
  <c r="K100" i="14"/>
  <c r="M100" i="14"/>
  <c r="O100" i="14"/>
  <c r="H100" i="14"/>
  <c r="J100" i="14"/>
  <c r="L99" i="14"/>
  <c r="D99" i="14"/>
  <c r="P99" i="14"/>
  <c r="K99" i="14"/>
  <c r="J99" i="14"/>
  <c r="I99" i="14"/>
  <c r="G99" i="14"/>
  <c r="E99" i="14"/>
  <c r="N99" i="14"/>
  <c r="O99" i="14"/>
  <c r="M99" i="14"/>
  <c r="H99" i="14"/>
  <c r="F99" i="14"/>
  <c r="H98" i="14"/>
  <c r="J98" i="14"/>
  <c r="L98" i="14"/>
  <c r="N98" i="14"/>
  <c r="P98" i="14"/>
  <c r="M98" i="14"/>
  <c r="K98" i="14"/>
  <c r="G98" i="14"/>
  <c r="I98" i="14"/>
  <c r="E98" i="14"/>
  <c r="O98" i="14"/>
  <c r="D98" i="14"/>
  <c r="F98" i="14"/>
  <c r="G97" i="14"/>
  <c r="G96" i="14" s="1"/>
  <c r="E97" i="14"/>
  <c r="E96" i="14" s="1"/>
  <c r="I97" i="14"/>
  <c r="I96" i="14" s="1"/>
  <c r="K97" i="14"/>
  <c r="K96" i="14" s="1"/>
  <c r="M97" i="14"/>
  <c r="M96" i="14" s="1"/>
  <c r="D97" i="14"/>
  <c r="D96" i="14" s="1"/>
  <c r="N97" i="14"/>
  <c r="N96" i="14" s="1"/>
  <c r="O97" i="14"/>
  <c r="O96" i="14" s="1"/>
  <c r="F97" i="14"/>
  <c r="F96" i="14" s="1"/>
  <c r="H97" i="14"/>
  <c r="H96" i="14" s="1"/>
  <c r="J97" i="14"/>
  <c r="J96" i="14" s="1"/>
  <c r="L97" i="14"/>
  <c r="L96" i="14" s="1"/>
  <c r="P97" i="14"/>
  <c r="P96" i="14" s="1"/>
  <c r="P94" i="14"/>
  <c r="N94" i="14"/>
  <c r="L94" i="14"/>
  <c r="J94" i="14"/>
  <c r="K94" i="14"/>
  <c r="M94" i="14"/>
  <c r="I94" i="14"/>
  <c r="O94" i="14"/>
  <c r="D94" i="14"/>
  <c r="G94" i="14"/>
  <c r="E94" i="14"/>
  <c r="F94" i="14"/>
  <c r="H94" i="14"/>
  <c r="J93" i="14"/>
  <c r="F93" i="14"/>
  <c r="P93" i="14"/>
  <c r="M93" i="14"/>
  <c r="L93" i="14"/>
  <c r="G93" i="14"/>
  <c r="D93" i="14"/>
  <c r="I93" i="14"/>
  <c r="O93" i="14"/>
  <c r="N93" i="14"/>
  <c r="K93" i="14"/>
  <c r="H93" i="14"/>
  <c r="E93" i="14"/>
  <c r="J92" i="14"/>
  <c r="L92" i="14"/>
  <c r="O92" i="14"/>
  <c r="K92" i="14"/>
  <c r="P92" i="14"/>
  <c r="N92" i="14"/>
  <c r="M92" i="14"/>
  <c r="E92" i="14"/>
  <c r="H92" i="14"/>
  <c r="F92" i="14"/>
  <c r="G92" i="14"/>
  <c r="D92" i="14"/>
  <c r="I92" i="14"/>
  <c r="K91" i="14"/>
  <c r="F91" i="14"/>
  <c r="G91" i="14"/>
  <c r="N91" i="14"/>
  <c r="E91" i="14"/>
  <c r="I91" i="14"/>
  <c r="J91" i="14"/>
  <c r="M91" i="14"/>
  <c r="L91" i="14"/>
  <c r="P91" i="14"/>
  <c r="H91" i="14"/>
  <c r="D91" i="14"/>
  <c r="O91" i="14"/>
  <c r="I90" i="14"/>
  <c r="H90" i="14"/>
  <c r="E90" i="14"/>
  <c r="D90" i="14"/>
  <c r="K90" i="14"/>
  <c r="N90" i="14"/>
  <c r="G90" i="14"/>
  <c r="M90" i="14"/>
  <c r="L90" i="14"/>
  <c r="F90" i="14"/>
  <c r="O90" i="14"/>
  <c r="J90" i="14"/>
  <c r="P90" i="14"/>
  <c r="N89" i="14"/>
  <c r="E89" i="14"/>
  <c r="M89" i="14"/>
  <c r="F89" i="14"/>
  <c r="I89" i="14"/>
  <c r="D89" i="14"/>
  <c r="O89" i="14"/>
  <c r="L89" i="14"/>
  <c r="H89" i="14"/>
  <c r="J89" i="14"/>
  <c r="G89" i="14"/>
  <c r="P89" i="14"/>
  <c r="K89" i="14"/>
  <c r="N88" i="14"/>
  <c r="K88" i="14"/>
  <c r="M88" i="14"/>
  <c r="F88" i="14"/>
  <c r="L88" i="14"/>
  <c r="O88" i="14"/>
  <c r="I88" i="14"/>
  <c r="E88" i="14"/>
  <c r="P88" i="14"/>
  <c r="D88" i="14"/>
  <c r="J88" i="14"/>
  <c r="G88" i="14"/>
  <c r="H88" i="14"/>
  <c r="O87" i="14"/>
  <c r="J87" i="14"/>
  <c r="D87" i="14"/>
  <c r="G87" i="14"/>
  <c r="L87" i="14"/>
  <c r="P87" i="14"/>
  <c r="E87" i="14"/>
  <c r="F87" i="14"/>
  <c r="H87" i="14"/>
  <c r="K87" i="14"/>
  <c r="M87" i="14"/>
  <c r="N87" i="14"/>
  <c r="I87" i="14"/>
  <c r="D86" i="14"/>
  <c r="O86" i="14"/>
  <c r="P86" i="14"/>
  <c r="K86" i="14"/>
  <c r="G86" i="14"/>
  <c r="M86" i="14"/>
  <c r="H86" i="14"/>
  <c r="L86" i="14"/>
  <c r="F86" i="14"/>
  <c r="J86" i="14"/>
  <c r="N86" i="14"/>
  <c r="E86" i="14"/>
  <c r="I86" i="14"/>
  <c r="M85" i="14"/>
  <c r="H85" i="14"/>
  <c r="P85" i="14"/>
  <c r="L85" i="14"/>
  <c r="K85" i="14"/>
  <c r="G85" i="14"/>
  <c r="I85" i="14"/>
  <c r="O85" i="14"/>
  <c r="D85" i="14"/>
  <c r="E85" i="14"/>
  <c r="J85" i="14"/>
  <c r="F85" i="14"/>
  <c r="N85" i="14"/>
  <c r="P84" i="14"/>
  <c r="O84" i="14"/>
  <c r="F84" i="14"/>
  <c r="L84" i="14"/>
  <c r="H84" i="14"/>
  <c r="D84" i="14"/>
  <c r="N84" i="14"/>
  <c r="J84" i="14"/>
  <c r="E84" i="14"/>
  <c r="G84" i="14"/>
  <c r="M84" i="14"/>
  <c r="I84" i="14"/>
  <c r="K84" i="14"/>
  <c r="N83" i="14"/>
  <c r="J83" i="14"/>
  <c r="P83" i="14"/>
  <c r="E83" i="14"/>
  <c r="M83" i="14"/>
  <c r="L83" i="14"/>
  <c r="O83" i="14"/>
  <c r="F83" i="14"/>
  <c r="H83" i="14"/>
  <c r="K83" i="14"/>
  <c r="G83" i="14"/>
  <c r="D83" i="14"/>
  <c r="I83" i="14"/>
  <c r="D82" i="14"/>
  <c r="D81" i="14" s="1"/>
  <c r="O82" i="14"/>
  <c r="O81" i="14" s="1"/>
  <c r="K82" i="14"/>
  <c r="K81" i="14" s="1"/>
  <c r="L82" i="14"/>
  <c r="L81" i="14" s="1"/>
  <c r="H82" i="14"/>
  <c r="H81" i="14" s="1"/>
  <c r="E82" i="14"/>
  <c r="E81" i="14" s="1"/>
  <c r="I82" i="14"/>
  <c r="I81" i="14" s="1"/>
  <c r="M82" i="14"/>
  <c r="M81" i="14" s="1"/>
  <c r="N82" i="14"/>
  <c r="N81" i="14" s="1"/>
  <c r="J82" i="14"/>
  <c r="J81" i="14" s="1"/>
  <c r="F82" i="14"/>
  <c r="F81" i="14" s="1"/>
  <c r="G82" i="14"/>
  <c r="G81" i="14" s="1"/>
  <c r="P82" i="14"/>
  <c r="P81" i="14" s="1"/>
  <c r="P79" i="14"/>
  <c r="P78" i="14" s="1"/>
  <c r="K79" i="14"/>
  <c r="K78" i="14" s="1"/>
  <c r="D79" i="14"/>
  <c r="D78" i="14" s="1"/>
  <c r="H79" i="14"/>
  <c r="H78" i="14" s="1"/>
  <c r="M79" i="14"/>
  <c r="M78" i="14" s="1"/>
  <c r="G79" i="14"/>
  <c r="G78" i="14" s="1"/>
  <c r="O79" i="14"/>
  <c r="O78" i="14" s="1"/>
  <c r="E79" i="14"/>
  <c r="E78" i="14" s="1"/>
  <c r="I79" i="14"/>
  <c r="I78" i="14" s="1"/>
  <c r="N79" i="14"/>
  <c r="N78" i="14" s="1"/>
  <c r="L79" i="14"/>
  <c r="L78" i="14" s="1"/>
  <c r="J79" i="14"/>
  <c r="J78" i="14" s="1"/>
  <c r="F79" i="14"/>
  <c r="F78" i="14" s="1"/>
  <c r="J76" i="14"/>
  <c r="J75" i="14" s="1"/>
  <c r="P76" i="14"/>
  <c r="P75" i="14" s="1"/>
  <c r="N76" i="14"/>
  <c r="N75" i="14" s="1"/>
  <c r="I76" i="14"/>
  <c r="I75" i="14" s="1"/>
  <c r="K76" i="14"/>
  <c r="K75" i="14" s="1"/>
  <c r="O76" i="14"/>
  <c r="O75" i="14" s="1"/>
  <c r="D76" i="14"/>
  <c r="D75" i="14" s="1"/>
  <c r="H76" i="14"/>
  <c r="H75" i="14" s="1"/>
  <c r="G76" i="14"/>
  <c r="G75" i="14" s="1"/>
  <c r="E76" i="14"/>
  <c r="E75" i="14" s="1"/>
  <c r="L76" i="14"/>
  <c r="L75" i="14" s="1"/>
  <c r="M76" i="14"/>
  <c r="M75" i="14" s="1"/>
  <c r="F76" i="14"/>
  <c r="F75" i="14" s="1"/>
  <c r="N73" i="14"/>
  <c r="O73" i="14"/>
  <c r="P73" i="14"/>
  <c r="F73" i="14"/>
  <c r="J73" i="14"/>
  <c r="H73" i="14"/>
  <c r="K73" i="14"/>
  <c r="L73" i="14"/>
  <c r="M73" i="14"/>
  <c r="D73" i="14"/>
  <c r="G73" i="14"/>
  <c r="E73" i="14"/>
  <c r="I73" i="14"/>
  <c r="M72" i="14"/>
  <c r="K72" i="14"/>
  <c r="F72" i="14"/>
  <c r="O72" i="14"/>
  <c r="D72" i="14"/>
  <c r="L72" i="14"/>
  <c r="N72" i="14"/>
  <c r="H72" i="14"/>
  <c r="E72" i="14"/>
  <c r="I72" i="14"/>
  <c r="P72" i="14"/>
  <c r="G72" i="14"/>
  <c r="J72" i="14"/>
  <c r="M71" i="14"/>
  <c r="O71" i="14"/>
  <c r="J71" i="14"/>
  <c r="K71" i="14"/>
  <c r="E71" i="14"/>
  <c r="E70" i="14" s="1"/>
  <c r="H71" i="14"/>
  <c r="L71" i="14"/>
  <c r="D71" i="14"/>
  <c r="G71" i="14"/>
  <c r="G70" i="14" s="1"/>
  <c r="P71" i="14"/>
  <c r="N71" i="14"/>
  <c r="I71" i="14"/>
  <c r="I70" i="14" s="1"/>
  <c r="F71" i="14"/>
  <c r="O68" i="14"/>
  <c r="L68" i="14"/>
  <c r="N68" i="14"/>
  <c r="G68" i="14"/>
  <c r="E68" i="14"/>
  <c r="J68" i="14"/>
  <c r="P68" i="14"/>
  <c r="K68" i="14"/>
  <c r="H68" i="14"/>
  <c r="D68" i="14"/>
  <c r="M68" i="14"/>
  <c r="F68" i="14"/>
  <c r="I68" i="14"/>
  <c r="N67" i="14"/>
  <c r="L67" i="14"/>
  <c r="O67" i="14"/>
  <c r="G67" i="14"/>
  <c r="J67" i="14"/>
  <c r="M67" i="14"/>
  <c r="E67" i="14"/>
  <c r="H67" i="14"/>
  <c r="P67" i="14"/>
  <c r="D67" i="14"/>
  <c r="I67" i="14"/>
  <c r="F67" i="14"/>
  <c r="K67" i="14"/>
  <c r="P66" i="14"/>
  <c r="F66" i="14"/>
  <c r="J66" i="14"/>
  <c r="H66" i="14"/>
  <c r="N66" i="14"/>
  <c r="K66" i="14"/>
  <c r="O66" i="14"/>
  <c r="E66" i="14"/>
  <c r="I66" i="14"/>
  <c r="M66" i="14"/>
  <c r="L66" i="14"/>
  <c r="G66" i="14"/>
  <c r="D66" i="14"/>
  <c r="N65" i="14"/>
  <c r="N64" i="14" s="1"/>
  <c r="E65" i="14"/>
  <c r="E64" i="14" s="1"/>
  <c r="G65" i="14"/>
  <c r="G64" i="14" s="1"/>
  <c r="M65" i="14"/>
  <c r="M64" i="14" s="1"/>
  <c r="K65" i="14"/>
  <c r="K64" i="14" s="1"/>
  <c r="P65" i="14"/>
  <c r="P64" i="14" s="1"/>
  <c r="O65" i="14"/>
  <c r="O64" i="14" s="1"/>
  <c r="J65" i="14"/>
  <c r="J64" i="14" s="1"/>
  <c r="F65" i="14"/>
  <c r="F64" i="14" s="1"/>
  <c r="L65" i="14"/>
  <c r="L64" i="14" s="1"/>
  <c r="D65" i="14"/>
  <c r="D64" i="14" s="1"/>
  <c r="H65" i="14"/>
  <c r="H64" i="14" s="1"/>
  <c r="I65" i="14"/>
  <c r="I64" i="14" s="1"/>
  <c r="I62" i="14"/>
  <c r="I61" i="14" s="1"/>
  <c r="J62" i="14"/>
  <c r="J61" i="14" s="1"/>
  <c r="L62" i="14"/>
  <c r="L61" i="14" s="1"/>
  <c r="M62" i="14"/>
  <c r="M61" i="14" s="1"/>
  <c r="N62" i="14"/>
  <c r="N61" i="14" s="1"/>
  <c r="O62" i="14"/>
  <c r="O61" i="14" s="1"/>
  <c r="P62" i="14"/>
  <c r="P61" i="14" s="1"/>
  <c r="F62" i="14"/>
  <c r="F61" i="14" s="1"/>
  <c r="D62" i="14"/>
  <c r="D61" i="14" s="1"/>
  <c r="K62" i="14"/>
  <c r="K61" i="14" s="1"/>
  <c r="G62" i="14"/>
  <c r="G61" i="14" s="1"/>
  <c r="H62" i="14"/>
  <c r="H61" i="14" s="1"/>
  <c r="E62" i="14"/>
  <c r="E61" i="14" s="1"/>
  <c r="K59" i="14"/>
  <c r="K58" i="14" s="1"/>
  <c r="J59" i="14"/>
  <c r="J58" i="14" s="1"/>
  <c r="H59" i="14"/>
  <c r="H58" i="14" s="1"/>
  <c r="G59" i="14"/>
  <c r="G58" i="14" s="1"/>
  <c r="F59" i="14"/>
  <c r="F58" i="14" s="1"/>
  <c r="N59" i="14"/>
  <c r="N58" i="14" s="1"/>
  <c r="D59" i="14"/>
  <c r="D58" i="14" s="1"/>
  <c r="O59" i="14"/>
  <c r="O58" i="14" s="1"/>
  <c r="P59" i="14"/>
  <c r="P58" i="14" s="1"/>
  <c r="I59" i="14"/>
  <c r="I58" i="14" s="1"/>
  <c r="L59" i="14"/>
  <c r="L58" i="14" s="1"/>
  <c r="M59" i="14"/>
  <c r="M58" i="14" s="1"/>
  <c r="E59" i="14"/>
  <c r="E58" i="14" s="1"/>
  <c r="P56" i="14"/>
  <c r="P55" i="14" s="1"/>
  <c r="O56" i="14"/>
  <c r="O55" i="14" s="1"/>
  <c r="N56" i="14"/>
  <c r="N55" i="14" s="1"/>
  <c r="M56" i="14"/>
  <c r="M55" i="14" s="1"/>
  <c r="L56" i="14"/>
  <c r="L55" i="14" s="1"/>
  <c r="K56" i="14"/>
  <c r="K55" i="14" s="1"/>
  <c r="I56" i="14"/>
  <c r="I55" i="14" s="1"/>
  <c r="H56" i="14"/>
  <c r="H55" i="14" s="1"/>
  <c r="G56" i="14"/>
  <c r="G55" i="14" s="1"/>
  <c r="F56" i="14"/>
  <c r="F55" i="14" s="1"/>
  <c r="E56" i="14"/>
  <c r="E55" i="14" s="1"/>
  <c r="D56" i="14"/>
  <c r="D55" i="14" s="1"/>
  <c r="J56" i="14"/>
  <c r="J55" i="14" s="1"/>
  <c r="P53" i="14"/>
  <c r="O53" i="14"/>
  <c r="N53" i="14"/>
  <c r="M53" i="14"/>
  <c r="L53" i="14"/>
  <c r="K53" i="14"/>
  <c r="J53" i="14"/>
  <c r="I53" i="14"/>
  <c r="H53" i="14"/>
  <c r="G53" i="14"/>
  <c r="F53" i="14"/>
  <c r="E53" i="14"/>
  <c r="D53" i="14"/>
  <c r="P52" i="14"/>
  <c r="O52" i="14"/>
  <c r="N52" i="14"/>
  <c r="M52" i="14"/>
  <c r="L52" i="14"/>
  <c r="K52" i="14"/>
  <c r="J52" i="14"/>
  <c r="I52" i="14"/>
  <c r="H52" i="14"/>
  <c r="G52" i="14"/>
  <c r="F52" i="14"/>
  <c r="E52" i="14"/>
  <c r="D52" i="14"/>
  <c r="P51" i="14"/>
  <c r="O51" i="14"/>
  <c r="N51" i="14"/>
  <c r="M51" i="14"/>
  <c r="L51" i="14"/>
  <c r="K51" i="14"/>
  <c r="J51" i="14"/>
  <c r="I51" i="14"/>
  <c r="H51" i="14"/>
  <c r="G51" i="14"/>
  <c r="F51" i="14"/>
  <c r="E51" i="14"/>
  <c r="D51" i="14"/>
  <c r="P50" i="14"/>
  <c r="O50" i="14"/>
  <c r="N50" i="14"/>
  <c r="M50" i="14"/>
  <c r="L50" i="14"/>
  <c r="K50" i="14"/>
  <c r="J50" i="14"/>
  <c r="I50" i="14"/>
  <c r="H50" i="14"/>
  <c r="G50" i="14"/>
  <c r="F50" i="14"/>
  <c r="E50" i="14"/>
  <c r="D50" i="14"/>
  <c r="P49" i="14"/>
  <c r="P48" i="14" s="1"/>
  <c r="O49" i="14"/>
  <c r="O48" i="14" s="1"/>
  <c r="N49" i="14"/>
  <c r="N48" i="14" s="1"/>
  <c r="M49" i="14"/>
  <c r="M48" i="14" s="1"/>
  <c r="L49" i="14"/>
  <c r="L48" i="14" s="1"/>
  <c r="K49" i="14"/>
  <c r="K48" i="14" s="1"/>
  <c r="J49" i="14"/>
  <c r="J48" i="14" s="1"/>
  <c r="I49" i="14"/>
  <c r="I48" i="14" s="1"/>
  <c r="H49" i="14"/>
  <c r="H48" i="14" s="1"/>
  <c r="G49" i="14"/>
  <c r="G48" i="14" s="1"/>
  <c r="F49" i="14"/>
  <c r="F48" i="14" s="1"/>
  <c r="E49" i="14"/>
  <c r="E48" i="14" s="1"/>
  <c r="D49" i="14"/>
  <c r="D48" i="14" s="1"/>
  <c r="P46" i="14"/>
  <c r="O46" i="14"/>
  <c r="N46" i="14"/>
  <c r="M46" i="14"/>
  <c r="L46" i="14"/>
  <c r="K46" i="14"/>
  <c r="J46" i="14"/>
  <c r="I46" i="14"/>
  <c r="H46" i="14"/>
  <c r="G46" i="14"/>
  <c r="F46" i="14"/>
  <c r="E46" i="14"/>
  <c r="D46" i="14"/>
  <c r="P45" i="14"/>
  <c r="O45" i="14"/>
  <c r="N45" i="14"/>
  <c r="M45" i="14"/>
  <c r="L45" i="14"/>
  <c r="K45" i="14"/>
  <c r="J45" i="14"/>
  <c r="I45" i="14"/>
  <c r="H45" i="14"/>
  <c r="G45" i="14"/>
  <c r="F45" i="14"/>
  <c r="E45" i="14"/>
  <c r="D45" i="14"/>
  <c r="P44" i="14"/>
  <c r="P43" i="14" s="1"/>
  <c r="O44" i="14"/>
  <c r="O43" i="14" s="1"/>
  <c r="N44" i="14"/>
  <c r="N43" i="14" s="1"/>
  <c r="M44" i="14"/>
  <c r="M43" i="14" s="1"/>
  <c r="L44" i="14"/>
  <c r="L43" i="14" s="1"/>
  <c r="K44" i="14"/>
  <c r="K43" i="14" s="1"/>
  <c r="J44" i="14"/>
  <c r="J43" i="14" s="1"/>
  <c r="I44" i="14"/>
  <c r="I43" i="14" s="1"/>
  <c r="H44" i="14"/>
  <c r="H43" i="14" s="1"/>
  <c r="G44" i="14"/>
  <c r="G43" i="14" s="1"/>
  <c r="F44" i="14"/>
  <c r="F43" i="14" s="1"/>
  <c r="E44" i="14"/>
  <c r="E43" i="14" s="1"/>
  <c r="D44" i="14"/>
  <c r="D43" i="14" s="1"/>
  <c r="P41" i="14"/>
  <c r="O41" i="14"/>
  <c r="N41" i="14"/>
  <c r="M41" i="14"/>
  <c r="L41" i="14"/>
  <c r="K41" i="14"/>
  <c r="J41" i="14"/>
  <c r="I41" i="14"/>
  <c r="H41" i="14"/>
  <c r="G41" i="14"/>
  <c r="F41" i="14"/>
  <c r="E41" i="14"/>
  <c r="D41" i="14"/>
  <c r="P40" i="14"/>
  <c r="P39" i="14" s="1"/>
  <c r="O40" i="14"/>
  <c r="O39" i="14" s="1"/>
  <c r="N40" i="14"/>
  <c r="N39" i="14" s="1"/>
  <c r="M40" i="14"/>
  <c r="M39" i="14" s="1"/>
  <c r="L40" i="14"/>
  <c r="L39" i="14" s="1"/>
  <c r="K40" i="14"/>
  <c r="K39" i="14" s="1"/>
  <c r="J40" i="14"/>
  <c r="J39" i="14" s="1"/>
  <c r="I40" i="14"/>
  <c r="I39" i="14" s="1"/>
  <c r="H40" i="14"/>
  <c r="H39" i="14" s="1"/>
  <c r="G40" i="14"/>
  <c r="G39" i="14" s="1"/>
  <c r="F40" i="14"/>
  <c r="F39" i="14" s="1"/>
  <c r="E40" i="14"/>
  <c r="E39" i="14" s="1"/>
  <c r="D40" i="14"/>
  <c r="D39" i="14" s="1"/>
  <c r="P37" i="14"/>
  <c r="O37" i="14"/>
  <c r="N37" i="14"/>
  <c r="M37" i="14"/>
  <c r="L37" i="14"/>
  <c r="K37" i="14"/>
  <c r="J37" i="14"/>
  <c r="I37" i="14"/>
  <c r="G37" i="14"/>
  <c r="F37" i="14"/>
  <c r="E37" i="14"/>
  <c r="D37" i="14"/>
  <c r="H37" i="14"/>
  <c r="P36" i="14"/>
  <c r="O36" i="14"/>
  <c r="N36" i="14"/>
  <c r="M36" i="14"/>
  <c r="L36" i="14"/>
  <c r="K36" i="14"/>
  <c r="J36" i="14"/>
  <c r="I36" i="14"/>
  <c r="H36" i="14"/>
  <c r="G36" i="14"/>
  <c r="F36" i="14"/>
  <c r="E36" i="14"/>
  <c r="D36" i="14"/>
  <c r="O35" i="14"/>
  <c r="O34" i="14" s="1"/>
  <c r="N35" i="14"/>
  <c r="N34" i="14" s="1"/>
  <c r="M35" i="14"/>
  <c r="M34" i="14" s="1"/>
  <c r="L35" i="14"/>
  <c r="L34" i="14" s="1"/>
  <c r="K35" i="14"/>
  <c r="K34" i="14" s="1"/>
  <c r="J35" i="14"/>
  <c r="J34" i="14" s="1"/>
  <c r="I35" i="14"/>
  <c r="I34" i="14" s="1"/>
  <c r="H35" i="14"/>
  <c r="H34" i="14" s="1"/>
  <c r="G35" i="14"/>
  <c r="G34" i="14" s="1"/>
  <c r="F35" i="14"/>
  <c r="F34" i="14" s="1"/>
  <c r="E35" i="14"/>
  <c r="E34" i="14" s="1"/>
  <c r="D35" i="14"/>
  <c r="D34" i="14" s="1"/>
  <c r="P35" i="14"/>
  <c r="P34" i="14" s="1"/>
  <c r="O32" i="14"/>
  <c r="N32" i="14"/>
  <c r="M32" i="14"/>
  <c r="L32" i="14"/>
  <c r="D32" i="14"/>
  <c r="P32" i="14"/>
  <c r="K32" i="14"/>
  <c r="J32" i="14"/>
  <c r="I32" i="14"/>
  <c r="H32" i="14"/>
  <c r="G32" i="14"/>
  <c r="F32" i="14"/>
  <c r="E32" i="14"/>
  <c r="D31" i="14"/>
  <c r="P31" i="14"/>
  <c r="O31" i="14"/>
  <c r="N31" i="14"/>
  <c r="M31" i="14"/>
  <c r="L31" i="14"/>
  <c r="K31" i="14"/>
  <c r="J31" i="14"/>
  <c r="I31" i="14"/>
  <c r="H31" i="14"/>
  <c r="G31" i="14"/>
  <c r="F31" i="14"/>
  <c r="E31" i="14"/>
  <c r="K30" i="14"/>
  <c r="K29" i="14" s="1"/>
  <c r="P30" i="14"/>
  <c r="P29" i="14" s="1"/>
  <c r="O30" i="14"/>
  <c r="O29" i="14" s="1"/>
  <c r="N30" i="14"/>
  <c r="N29" i="14" s="1"/>
  <c r="M30" i="14"/>
  <c r="M29" i="14" s="1"/>
  <c r="L30" i="14"/>
  <c r="L29" i="14" s="1"/>
  <c r="E30" i="14"/>
  <c r="E29" i="14" s="1"/>
  <c r="E128" i="14" s="1"/>
  <c r="J30" i="14"/>
  <c r="J29" i="14" s="1"/>
  <c r="I30" i="14"/>
  <c r="I29" i="14" s="1"/>
  <c r="I128" i="14" s="1"/>
  <c r="H30" i="14"/>
  <c r="H29" i="14" s="1"/>
  <c r="G30" i="14"/>
  <c r="G29" i="14" s="1"/>
  <c r="G128" i="14" s="1"/>
  <c r="F30" i="14"/>
  <c r="F29" i="14" s="1"/>
  <c r="D30" i="14"/>
  <c r="D29" i="14" s="1"/>
  <c r="O24" i="14"/>
  <c r="P24" i="14"/>
  <c r="N24" i="14"/>
  <c r="M24" i="14"/>
  <c r="L24" i="14"/>
  <c r="K24" i="14"/>
  <c r="J24" i="14"/>
  <c r="I24" i="14"/>
  <c r="H24" i="14"/>
  <c r="G24" i="14"/>
  <c r="F24" i="14"/>
  <c r="E24" i="14"/>
  <c r="D24" i="14"/>
  <c r="P23" i="14"/>
  <c r="O23" i="14"/>
  <c r="N23" i="14"/>
  <c r="M23" i="14"/>
  <c r="L23" i="14"/>
  <c r="K23" i="14"/>
  <c r="J23" i="14"/>
  <c r="I23" i="14"/>
  <c r="H23" i="14"/>
  <c r="G23" i="14"/>
  <c r="F23" i="14"/>
  <c r="E23" i="14"/>
  <c r="D23" i="14"/>
  <c r="P22" i="14"/>
  <c r="O22" i="14"/>
  <c r="N22" i="14"/>
  <c r="M22" i="14"/>
  <c r="L22" i="14"/>
  <c r="K22" i="14"/>
  <c r="J22" i="14"/>
  <c r="I22" i="14"/>
  <c r="H22" i="14"/>
  <c r="G22" i="14"/>
  <c r="F22" i="14"/>
  <c r="E22" i="14"/>
  <c r="D22" i="14"/>
  <c r="J21" i="14"/>
  <c r="I21" i="14"/>
  <c r="K21" i="14"/>
  <c r="H21" i="14"/>
  <c r="G21" i="14"/>
  <c r="F21" i="14"/>
  <c r="E21" i="14"/>
  <c r="D21" i="14"/>
  <c r="P21" i="14"/>
  <c r="O21" i="14"/>
  <c r="N21" i="14"/>
  <c r="M21" i="14"/>
  <c r="L21" i="14"/>
  <c r="O20" i="14"/>
  <c r="P20" i="14"/>
  <c r="D20" i="14"/>
  <c r="N20" i="14"/>
  <c r="M20" i="14"/>
  <c r="L20" i="14"/>
  <c r="K20" i="14"/>
  <c r="J20" i="14"/>
  <c r="I20" i="14"/>
  <c r="H20" i="14"/>
  <c r="G20" i="14"/>
  <c r="F20" i="14"/>
  <c r="E20" i="14"/>
  <c r="L19" i="14"/>
  <c r="K19" i="14"/>
  <c r="J19" i="14"/>
  <c r="I19" i="14"/>
  <c r="H19" i="14"/>
  <c r="G19" i="14"/>
  <c r="F19" i="14"/>
  <c r="E19" i="14"/>
  <c r="P19" i="14"/>
  <c r="D19" i="14"/>
  <c r="O19" i="14"/>
  <c r="N19" i="14"/>
  <c r="M19" i="14"/>
  <c r="L18" i="14"/>
  <c r="K18" i="14"/>
  <c r="J18" i="14"/>
  <c r="I18" i="14"/>
  <c r="H18" i="14"/>
  <c r="G18" i="14"/>
  <c r="F18" i="14"/>
  <c r="E18" i="14"/>
  <c r="D18" i="14"/>
  <c r="P18" i="14"/>
  <c r="O18" i="14"/>
  <c r="N18" i="14"/>
  <c r="M18" i="14"/>
  <c r="M17" i="14"/>
  <c r="P17" i="14"/>
  <c r="O17" i="14"/>
  <c r="N17" i="14"/>
  <c r="L17" i="14"/>
  <c r="K17" i="14"/>
  <c r="J17" i="14"/>
  <c r="I17" i="14"/>
  <c r="H17" i="14"/>
  <c r="G17" i="14"/>
  <c r="F17" i="14"/>
  <c r="E17" i="14"/>
  <c r="D17" i="14"/>
  <c r="D16" i="14"/>
  <c r="E16" i="14"/>
  <c r="F16" i="14"/>
  <c r="G16" i="14"/>
  <c r="H16" i="14"/>
  <c r="L16" i="14"/>
  <c r="I16" i="14"/>
  <c r="J16" i="14"/>
  <c r="K16" i="14"/>
  <c r="P16" i="14"/>
  <c r="O16" i="14"/>
  <c r="N16" i="14"/>
  <c r="M16" i="14"/>
  <c r="F15" i="14"/>
  <c r="P15" i="14"/>
  <c r="O15" i="14"/>
  <c r="N15" i="14"/>
  <c r="M15" i="14"/>
  <c r="L15" i="14"/>
  <c r="K15" i="14"/>
  <c r="J15" i="14"/>
  <c r="I15" i="14"/>
  <c r="H15" i="14"/>
  <c r="G15" i="14"/>
  <c r="E15" i="14"/>
  <c r="D15" i="14"/>
  <c r="G14" i="14"/>
  <c r="H14" i="14"/>
  <c r="J14" i="14"/>
  <c r="K14" i="14"/>
  <c r="E14" i="14"/>
  <c r="M14" i="14"/>
  <c r="L14" i="14"/>
  <c r="D14" i="14"/>
  <c r="F14" i="14"/>
  <c r="P14" i="14"/>
  <c r="O14" i="14"/>
  <c r="N14" i="14"/>
  <c r="I14" i="14"/>
  <c r="H13" i="14"/>
  <c r="I13" i="14"/>
  <c r="J13" i="14"/>
  <c r="K13" i="14"/>
  <c r="M13" i="14"/>
  <c r="N13" i="14"/>
  <c r="O13" i="14"/>
  <c r="P13" i="14"/>
  <c r="L13" i="14"/>
  <c r="D13" i="14"/>
  <c r="E13" i="14"/>
  <c r="F13" i="14"/>
  <c r="G13" i="14"/>
  <c r="G12" i="14"/>
  <c r="D12" i="14"/>
  <c r="E12" i="14"/>
  <c r="P12" i="14"/>
  <c r="F12" i="14"/>
  <c r="N12" i="14"/>
  <c r="M12" i="14"/>
  <c r="L12" i="14"/>
  <c r="K12" i="14"/>
  <c r="J12" i="14"/>
  <c r="I12" i="14"/>
  <c r="H12" i="14"/>
  <c r="O12" i="14"/>
  <c r="K11" i="14"/>
  <c r="K26" i="14" s="1"/>
  <c r="L11" i="14"/>
  <c r="M11" i="14"/>
  <c r="M26" i="14" s="1"/>
  <c r="N11" i="14"/>
  <c r="N26" i="14" s="1"/>
  <c r="O11" i="14"/>
  <c r="O26" i="14" s="1"/>
  <c r="P11" i="14"/>
  <c r="P26" i="14" s="1"/>
  <c r="H11" i="14"/>
  <c r="H26" i="14" s="1"/>
  <c r="G11" i="14"/>
  <c r="G26" i="14" s="1"/>
  <c r="G130" i="14" s="1"/>
  <c r="J11" i="14"/>
  <c r="J26" i="14" s="1"/>
  <c r="I11" i="14"/>
  <c r="I26" i="14" s="1"/>
  <c r="I130" i="14" s="1"/>
  <c r="D11" i="14"/>
  <c r="D26" i="14" s="1"/>
  <c r="E11" i="14"/>
  <c r="E26" i="14" s="1"/>
  <c r="E130" i="14" s="1"/>
  <c r="F11" i="14"/>
  <c r="F26" i="14" s="1"/>
  <c r="C46" i="12"/>
  <c r="E46" i="12"/>
  <c r="C45" i="12"/>
  <c r="F45" i="12" s="1"/>
  <c r="E45" i="12"/>
  <c r="C44" i="12"/>
  <c r="F44" i="12" s="1"/>
  <c r="E44" i="12"/>
  <c r="C43" i="12"/>
  <c r="E43" i="12"/>
  <c r="E42" i="12"/>
  <c r="C42" i="12"/>
  <c r="F42" i="12" s="1"/>
  <c r="C41" i="12"/>
  <c r="E41" i="12"/>
  <c r="E40" i="12"/>
  <c r="C40" i="12"/>
  <c r="E39" i="12"/>
  <c r="C39" i="12"/>
  <c r="E38" i="12"/>
  <c r="C38" i="12"/>
  <c r="E37" i="12"/>
  <c r="C37" i="12"/>
  <c r="E36" i="12"/>
  <c r="C36" i="12"/>
  <c r="C35" i="12"/>
  <c r="E35" i="12"/>
  <c r="E47" i="12" s="1"/>
  <c r="C15" i="12"/>
  <c r="C10" i="13"/>
  <c r="H135" i="14"/>
  <c r="H317" i="10"/>
  <c r="E38" i="13" s="1"/>
  <c r="F317" i="10"/>
  <c r="C38" i="13" s="1"/>
  <c r="F316" i="10"/>
  <c r="C37" i="13" s="1"/>
  <c r="H316" i="10"/>
  <c r="E37" i="13" s="1"/>
  <c r="F14" i="12"/>
  <c r="E39" i="13"/>
  <c r="O107" i="7"/>
  <c r="N107" i="7"/>
  <c r="L107" i="7"/>
  <c r="I107" i="7"/>
  <c r="M107" i="7"/>
  <c r="M106" i="7"/>
  <c r="O106" i="7"/>
  <c r="N106" i="7"/>
  <c r="L106" i="7"/>
  <c r="I106" i="7"/>
  <c r="N105" i="7"/>
  <c r="O105" i="7"/>
  <c r="I105" i="7"/>
  <c r="L105" i="7"/>
  <c r="M105" i="7"/>
  <c r="M104" i="7"/>
  <c r="L104" i="7"/>
  <c r="I104" i="7"/>
  <c r="N104" i="7"/>
  <c r="O104" i="7"/>
  <c r="O103" i="7"/>
  <c r="N103" i="7"/>
  <c r="M103" i="7"/>
  <c r="L103" i="7"/>
  <c r="I103" i="7"/>
  <c r="O102" i="7"/>
  <c r="N102" i="7"/>
  <c r="M102" i="7"/>
  <c r="I102" i="7"/>
  <c r="L102" i="7"/>
  <c r="O101" i="7"/>
  <c r="N101" i="7"/>
  <c r="M101" i="7"/>
  <c r="L101" i="7"/>
  <c r="I101" i="7"/>
  <c r="N100" i="7"/>
  <c r="O100" i="7"/>
  <c r="M100" i="7"/>
  <c r="L100" i="7"/>
  <c r="I100" i="7"/>
  <c r="M99" i="7"/>
  <c r="O99" i="7"/>
  <c r="N99" i="7"/>
  <c r="L99" i="7"/>
  <c r="I99" i="7"/>
  <c r="M98" i="7"/>
  <c r="I98" i="7"/>
  <c r="L98" i="7"/>
  <c r="O98" i="7"/>
  <c r="N98" i="7"/>
  <c r="I97" i="7"/>
  <c r="L97" i="7"/>
  <c r="M97" i="7"/>
  <c r="N97" i="7"/>
  <c r="O97" i="7"/>
  <c r="O96" i="7"/>
  <c r="I96" i="7"/>
  <c r="M96" i="7"/>
  <c r="L96" i="7"/>
  <c r="N96" i="7"/>
  <c r="L95" i="7"/>
  <c r="M95" i="7"/>
  <c r="I95" i="7"/>
  <c r="O95" i="7"/>
  <c r="N95" i="7"/>
  <c r="L94" i="7"/>
  <c r="O94" i="7"/>
  <c r="N94" i="7"/>
  <c r="M94" i="7"/>
  <c r="I94" i="7"/>
  <c r="N93" i="7"/>
  <c r="M93" i="7"/>
  <c r="L93" i="7"/>
  <c r="I93" i="7"/>
  <c r="O93" i="7"/>
  <c r="L92" i="7"/>
  <c r="I92" i="7"/>
  <c r="O92" i="7"/>
  <c r="N92" i="7"/>
  <c r="M92" i="7"/>
  <c r="L91" i="7"/>
  <c r="I91" i="7"/>
  <c r="M91" i="7"/>
  <c r="N91" i="7"/>
  <c r="O91" i="7"/>
  <c r="O90" i="7"/>
  <c r="N90" i="7"/>
  <c r="L90" i="7"/>
  <c r="I90" i="7"/>
  <c r="M90" i="7"/>
  <c r="O89" i="7"/>
  <c r="N89" i="7"/>
  <c r="M89" i="7"/>
  <c r="L89" i="7"/>
  <c r="I89" i="7"/>
  <c r="N88" i="7"/>
  <c r="M88" i="7"/>
  <c r="L88" i="7"/>
  <c r="I88" i="7"/>
  <c r="O88" i="7"/>
  <c r="O87" i="7"/>
  <c r="I87" i="7"/>
  <c r="L87" i="7"/>
  <c r="M87" i="7"/>
  <c r="N87" i="7"/>
  <c r="I86" i="7"/>
  <c r="L86" i="7"/>
  <c r="M86" i="7"/>
  <c r="O86" i="7"/>
  <c r="N86" i="7"/>
  <c r="L85" i="7"/>
  <c r="O85" i="7"/>
  <c r="N85" i="7"/>
  <c r="I85" i="7"/>
  <c r="M85" i="7"/>
  <c r="I84" i="7"/>
  <c r="N84" i="7"/>
  <c r="O84" i="7"/>
  <c r="L84" i="7"/>
  <c r="M84" i="7"/>
  <c r="L83" i="7"/>
  <c r="O83" i="7"/>
  <c r="N83" i="7"/>
  <c r="M83" i="7"/>
  <c r="I83" i="7"/>
  <c r="M82" i="7"/>
  <c r="I82" i="7"/>
  <c r="L82" i="7"/>
  <c r="N82" i="7"/>
  <c r="O82" i="7"/>
  <c r="O81" i="7"/>
  <c r="I81" i="7"/>
  <c r="L81" i="7"/>
  <c r="M81" i="7"/>
  <c r="N81" i="7"/>
  <c r="I80" i="7"/>
  <c r="L80" i="7"/>
  <c r="M80" i="7"/>
  <c r="N80" i="7"/>
  <c r="O80" i="7"/>
  <c r="O79" i="7"/>
  <c r="I79" i="7"/>
  <c r="L79" i="7"/>
  <c r="M79" i="7"/>
  <c r="N79" i="7"/>
  <c r="M78" i="7"/>
  <c r="L78" i="7"/>
  <c r="I78" i="7"/>
  <c r="O78" i="7"/>
  <c r="N78" i="7"/>
  <c r="O77" i="7"/>
  <c r="N77" i="7"/>
  <c r="M77" i="7"/>
  <c r="L77" i="7"/>
  <c r="I77" i="7"/>
  <c r="O76" i="7"/>
  <c r="N76" i="7"/>
  <c r="M76" i="7"/>
  <c r="L76" i="7"/>
  <c r="I76" i="7"/>
  <c r="I75" i="7"/>
  <c r="O75" i="7"/>
  <c r="M75" i="7"/>
  <c r="N75" i="7"/>
  <c r="L75" i="7"/>
  <c r="I74" i="7"/>
  <c r="L74" i="7"/>
  <c r="M74" i="7"/>
  <c r="O74" i="7"/>
  <c r="N74" i="7"/>
  <c r="N73" i="7"/>
  <c r="O73" i="7"/>
  <c r="M73" i="7"/>
  <c r="I73" i="7"/>
  <c r="L73" i="7"/>
  <c r="N72" i="7"/>
  <c r="M72" i="7"/>
  <c r="L72" i="7"/>
  <c r="I72" i="7"/>
  <c r="O72" i="7"/>
  <c r="O71" i="7"/>
  <c r="N71" i="7"/>
  <c r="L71" i="7"/>
  <c r="I71" i="7"/>
  <c r="M71" i="7"/>
  <c r="L70" i="7"/>
  <c r="O70" i="7"/>
  <c r="N70" i="7"/>
  <c r="M70" i="7"/>
  <c r="I70" i="7"/>
  <c r="O69" i="7"/>
  <c r="N69" i="7"/>
  <c r="M69" i="7"/>
  <c r="L69" i="7"/>
  <c r="I69" i="7"/>
  <c r="O68" i="7"/>
  <c r="I68" i="7"/>
  <c r="L68" i="7"/>
  <c r="M68" i="7"/>
  <c r="N68" i="7"/>
  <c r="N67" i="7"/>
  <c r="M67" i="7"/>
  <c r="L67" i="7"/>
  <c r="I67" i="7"/>
  <c r="O67" i="7"/>
  <c r="M66" i="7"/>
  <c r="O66" i="7"/>
  <c r="N66" i="7"/>
  <c r="L66" i="7"/>
  <c r="I66" i="7"/>
  <c r="L65" i="7"/>
  <c r="I65" i="7"/>
  <c r="O65" i="7"/>
  <c r="N65" i="7"/>
  <c r="M65" i="7"/>
  <c r="O64" i="7"/>
  <c r="N64" i="7"/>
  <c r="M64" i="7"/>
  <c r="L64" i="7"/>
  <c r="I64" i="7"/>
  <c r="N63" i="7"/>
  <c r="M63" i="7"/>
  <c r="L63" i="7"/>
  <c r="I63" i="7"/>
  <c r="O63" i="7"/>
  <c r="O62" i="7"/>
  <c r="N62" i="7"/>
  <c r="L62" i="7"/>
  <c r="I62" i="7"/>
  <c r="M62" i="7"/>
  <c r="O61" i="7"/>
  <c r="N61" i="7"/>
  <c r="M61" i="7"/>
  <c r="L61" i="7"/>
  <c r="I61" i="7"/>
  <c r="I60" i="7"/>
  <c r="O60" i="7"/>
  <c r="N60" i="7"/>
  <c r="M60" i="7"/>
  <c r="L60" i="7"/>
  <c r="O59" i="7"/>
  <c r="N59" i="7"/>
  <c r="M59" i="7"/>
  <c r="L59" i="7"/>
  <c r="I59" i="7"/>
  <c r="N58" i="7"/>
  <c r="I58" i="7"/>
  <c r="O58" i="7"/>
  <c r="L58" i="7"/>
  <c r="M58" i="7"/>
  <c r="L57" i="7"/>
  <c r="I57" i="7"/>
  <c r="O57" i="7"/>
  <c r="N57" i="7"/>
  <c r="M57" i="7"/>
  <c r="O56" i="7"/>
  <c r="N56" i="7"/>
  <c r="L56" i="7"/>
  <c r="I56" i="7"/>
  <c r="M56" i="7"/>
  <c r="N55" i="7"/>
  <c r="O55" i="7"/>
  <c r="I55" i="7"/>
  <c r="L55" i="7"/>
  <c r="M55" i="7"/>
  <c r="N54" i="7"/>
  <c r="O54" i="7"/>
  <c r="M54" i="7"/>
  <c r="L54" i="7"/>
  <c r="I54" i="7"/>
  <c r="N53" i="7"/>
  <c r="M53" i="7"/>
  <c r="O53" i="7"/>
  <c r="L53" i="7"/>
  <c r="I53" i="7"/>
  <c r="N52" i="7"/>
  <c r="M52" i="7"/>
  <c r="I52" i="7"/>
  <c r="L52" i="7"/>
  <c r="O52" i="7"/>
  <c r="O51" i="7"/>
  <c r="N51" i="7"/>
  <c r="M51" i="7"/>
  <c r="L51" i="7"/>
  <c r="I51" i="7"/>
  <c r="N50" i="7"/>
  <c r="O50" i="7"/>
  <c r="L50" i="7"/>
  <c r="I50" i="7"/>
  <c r="M50" i="7"/>
  <c r="N49" i="7"/>
  <c r="O49" i="7"/>
  <c r="M49" i="7"/>
  <c r="I49" i="7"/>
  <c r="L49" i="7"/>
  <c r="N48" i="7"/>
  <c r="M48" i="7"/>
  <c r="L48" i="7"/>
  <c r="I48" i="7"/>
  <c r="O48" i="7"/>
  <c r="O47" i="7"/>
  <c r="N47" i="7"/>
  <c r="M47" i="7"/>
  <c r="L47" i="7"/>
  <c r="I47" i="7"/>
  <c r="M46" i="7"/>
  <c r="O46" i="7"/>
  <c r="N46" i="7"/>
  <c r="L46" i="7"/>
  <c r="I46" i="7"/>
  <c r="O45" i="7"/>
  <c r="N45" i="7"/>
  <c r="L45" i="7"/>
  <c r="I45" i="7"/>
  <c r="M45" i="7"/>
  <c r="M44" i="7"/>
  <c r="L44" i="7"/>
  <c r="I44" i="7"/>
  <c r="N44" i="7"/>
  <c r="O44" i="7"/>
  <c r="M43" i="7"/>
  <c r="N43" i="7"/>
  <c r="O43" i="7"/>
  <c r="I43" i="7"/>
  <c r="L43" i="7"/>
  <c r="O42" i="7"/>
  <c r="N42" i="7"/>
  <c r="M42" i="7"/>
  <c r="I17" i="12"/>
  <c r="I42" i="7"/>
  <c r="L42" i="7"/>
  <c r="M41" i="7"/>
  <c r="L41" i="7"/>
  <c r="N41" i="7"/>
  <c r="I41" i="7"/>
  <c r="M40" i="7"/>
  <c r="I40" i="7"/>
  <c r="L40" i="7"/>
  <c r="N40" i="7"/>
  <c r="O40" i="7"/>
  <c r="L39" i="7"/>
  <c r="M39" i="7"/>
  <c r="I39" i="7"/>
  <c r="O39" i="7"/>
  <c r="N39" i="7"/>
  <c r="N38" i="7"/>
  <c r="O38" i="7"/>
  <c r="I38" i="7"/>
  <c r="L38" i="7"/>
  <c r="M38" i="7"/>
  <c r="L37" i="7"/>
  <c r="M37" i="7"/>
  <c r="N37" i="7"/>
  <c r="O37" i="7"/>
  <c r="I37" i="7"/>
  <c r="N36" i="7"/>
  <c r="I36" i="7"/>
  <c r="L36" i="7"/>
  <c r="M36" i="7"/>
  <c r="O36" i="7"/>
  <c r="I35" i="7"/>
  <c r="O35" i="7"/>
  <c r="N35" i="7"/>
  <c r="M35" i="7"/>
  <c r="L35" i="7"/>
  <c r="O34" i="7"/>
  <c r="N34" i="7"/>
  <c r="M34" i="7"/>
  <c r="L34" i="7"/>
  <c r="I34" i="7"/>
  <c r="N33" i="7"/>
  <c r="M33" i="7"/>
  <c r="L33" i="7"/>
  <c r="I33" i="7"/>
  <c r="O33" i="7"/>
  <c r="M32" i="7"/>
  <c r="O32" i="7"/>
  <c r="N32" i="7"/>
  <c r="L32" i="7"/>
  <c r="I32" i="7"/>
  <c r="L31" i="7"/>
  <c r="I31" i="7"/>
  <c r="O31" i="7"/>
  <c r="N31" i="7"/>
  <c r="M31" i="7"/>
  <c r="N30" i="7"/>
  <c r="M30" i="7"/>
  <c r="L30" i="7"/>
  <c r="I30" i="7"/>
  <c r="O30" i="7"/>
  <c r="N29" i="7"/>
  <c r="O29" i="7"/>
  <c r="I29" i="7"/>
  <c r="L29" i="7"/>
  <c r="M29" i="7"/>
  <c r="O28" i="7"/>
  <c r="N28" i="7"/>
  <c r="M28" i="7"/>
  <c r="L28" i="7"/>
  <c r="I28" i="7"/>
  <c r="M27" i="7"/>
  <c r="L27" i="7"/>
  <c r="I27" i="7"/>
  <c r="N27" i="7"/>
  <c r="O27" i="7"/>
  <c r="O26" i="7"/>
  <c r="N26" i="7"/>
  <c r="M26" i="7"/>
  <c r="I26" i="7"/>
  <c r="L26" i="7"/>
  <c r="O25" i="7"/>
  <c r="N25" i="7"/>
  <c r="M25" i="7"/>
  <c r="L25" i="7"/>
  <c r="I25" i="7"/>
  <c r="I24" i="7"/>
  <c r="N24" i="7"/>
  <c r="O24" i="7"/>
  <c r="M24" i="7"/>
  <c r="L24" i="7"/>
  <c r="O23" i="7"/>
  <c r="I23" i="7"/>
  <c r="L23" i="7"/>
  <c r="M23" i="7"/>
  <c r="N23" i="7"/>
  <c r="O22" i="7"/>
  <c r="N22" i="7"/>
  <c r="M22" i="7"/>
  <c r="L22" i="7"/>
  <c r="I22" i="7"/>
  <c r="O21" i="7"/>
  <c r="N21" i="7"/>
  <c r="M21" i="7"/>
  <c r="L21" i="7"/>
  <c r="I21" i="7"/>
  <c r="O20" i="7"/>
  <c r="N20" i="7"/>
  <c r="M20" i="7"/>
  <c r="L20" i="7"/>
  <c r="I20" i="7"/>
  <c r="O19" i="7"/>
  <c r="N19" i="7"/>
  <c r="M19" i="7"/>
  <c r="L19" i="7"/>
  <c r="I19" i="7"/>
  <c r="O18" i="7"/>
  <c r="N18" i="7"/>
  <c r="M18" i="7"/>
  <c r="L18" i="7"/>
  <c r="I18" i="7"/>
  <c r="O17" i="7"/>
  <c r="N17" i="7"/>
  <c r="M17" i="7"/>
  <c r="L17" i="7"/>
  <c r="I17" i="7"/>
  <c r="O16" i="7"/>
  <c r="N16" i="7"/>
  <c r="M16" i="7"/>
  <c r="L16" i="7"/>
  <c r="I16" i="7"/>
  <c r="O15" i="7"/>
  <c r="N15" i="7"/>
  <c r="M15" i="7"/>
  <c r="L15" i="7"/>
  <c r="I15" i="7"/>
  <c r="O14" i="7"/>
  <c r="N14" i="7"/>
  <c r="M14" i="7"/>
  <c r="L14" i="7"/>
  <c r="I14" i="7"/>
  <c r="N13" i="7"/>
  <c r="M13" i="7"/>
  <c r="L13" i="7"/>
  <c r="I13" i="7"/>
  <c r="O13" i="7"/>
  <c r="O12" i="7"/>
  <c r="N12" i="7"/>
  <c r="M12" i="7"/>
  <c r="L12" i="7"/>
  <c r="I12" i="7"/>
  <c r="L11" i="7"/>
  <c r="O11" i="7"/>
  <c r="N11" i="7"/>
  <c r="M11" i="7"/>
  <c r="I11" i="7"/>
  <c r="N10" i="7"/>
  <c r="M10" i="7"/>
  <c r="L10" i="7"/>
  <c r="I10" i="7"/>
  <c r="O10" i="7"/>
  <c r="O9" i="7"/>
  <c r="N9" i="7"/>
  <c r="M9" i="7"/>
  <c r="I9" i="7"/>
  <c r="L9" i="7"/>
  <c r="O8" i="7"/>
  <c r="N8" i="7"/>
  <c r="M8" i="7"/>
  <c r="L8" i="7"/>
  <c r="I8" i="7"/>
  <c r="M1005" i="6"/>
  <c r="N1005" i="6"/>
  <c r="T1005" i="6"/>
  <c r="U1005" i="6" s="1"/>
  <c r="M1004" i="6"/>
  <c r="N1004" i="6"/>
  <c r="T1004" i="6"/>
  <c r="U1004" i="6" s="1"/>
  <c r="M1003" i="6"/>
  <c r="N1003" i="6"/>
  <c r="T1003" i="6"/>
  <c r="U1003" i="6" s="1"/>
  <c r="M1002" i="6"/>
  <c r="N1002" i="6"/>
  <c r="T1002" i="6"/>
  <c r="U1002" i="6" s="1"/>
  <c r="M1001" i="6"/>
  <c r="N1001" i="6"/>
  <c r="T1001" i="6"/>
  <c r="U1001" i="6" s="1"/>
  <c r="M1000" i="6"/>
  <c r="N1000" i="6"/>
  <c r="T1000" i="6"/>
  <c r="U1000" i="6" s="1"/>
  <c r="M999" i="6"/>
  <c r="N999" i="6"/>
  <c r="T999" i="6"/>
  <c r="U999" i="6" s="1"/>
  <c r="M998" i="6"/>
  <c r="N998" i="6"/>
  <c r="T998" i="6"/>
  <c r="U998" i="6" s="1"/>
  <c r="M997" i="6"/>
  <c r="N997" i="6"/>
  <c r="T997" i="6"/>
  <c r="U997" i="6" s="1"/>
  <c r="M996" i="6"/>
  <c r="N996" i="6"/>
  <c r="T996" i="6"/>
  <c r="U996" i="6" s="1"/>
  <c r="M995" i="6"/>
  <c r="N995" i="6"/>
  <c r="T995" i="6"/>
  <c r="U995" i="6" s="1"/>
  <c r="M994" i="6"/>
  <c r="N994" i="6"/>
  <c r="T994" i="6"/>
  <c r="U994" i="6" s="1"/>
  <c r="M993" i="6"/>
  <c r="N993" i="6"/>
  <c r="T993" i="6"/>
  <c r="U993" i="6" s="1"/>
  <c r="M992" i="6"/>
  <c r="N992" i="6"/>
  <c r="T992" i="6"/>
  <c r="U992" i="6" s="1"/>
  <c r="M991" i="6"/>
  <c r="N991" i="6"/>
  <c r="T991" i="6"/>
  <c r="U991" i="6" s="1"/>
  <c r="M990" i="6"/>
  <c r="N990" i="6"/>
  <c r="T990" i="6"/>
  <c r="U990" i="6" s="1"/>
  <c r="M989" i="6"/>
  <c r="N989" i="6"/>
  <c r="T989" i="6"/>
  <c r="U989" i="6" s="1"/>
  <c r="M988" i="6"/>
  <c r="N988" i="6"/>
  <c r="T988" i="6"/>
  <c r="U988" i="6" s="1"/>
  <c r="M987" i="6"/>
  <c r="N987" i="6"/>
  <c r="T987" i="6"/>
  <c r="U987" i="6" s="1"/>
  <c r="M986" i="6"/>
  <c r="N986" i="6"/>
  <c r="T986" i="6"/>
  <c r="U986" i="6" s="1"/>
  <c r="M985" i="6"/>
  <c r="N985" i="6"/>
  <c r="T985" i="6"/>
  <c r="U985" i="6" s="1"/>
  <c r="M984" i="6"/>
  <c r="N984" i="6"/>
  <c r="T984" i="6"/>
  <c r="U984" i="6" s="1"/>
  <c r="M983" i="6"/>
  <c r="N983" i="6"/>
  <c r="T983" i="6"/>
  <c r="U983" i="6" s="1"/>
  <c r="M982" i="6"/>
  <c r="N982" i="6"/>
  <c r="T982" i="6"/>
  <c r="U982" i="6" s="1"/>
  <c r="M981" i="6"/>
  <c r="N981" i="6"/>
  <c r="T981" i="6"/>
  <c r="U981" i="6" s="1"/>
  <c r="M980" i="6"/>
  <c r="N980" i="6"/>
  <c r="T980" i="6"/>
  <c r="U980" i="6" s="1"/>
  <c r="M979" i="6"/>
  <c r="N979" i="6"/>
  <c r="T979" i="6"/>
  <c r="U979" i="6" s="1"/>
  <c r="M978" i="6"/>
  <c r="N978" i="6"/>
  <c r="T978" i="6"/>
  <c r="U978" i="6" s="1"/>
  <c r="M977" i="6"/>
  <c r="N977" i="6"/>
  <c r="T977" i="6"/>
  <c r="U977" i="6" s="1"/>
  <c r="M976" i="6"/>
  <c r="N976" i="6"/>
  <c r="T976" i="6"/>
  <c r="U976" i="6" s="1"/>
  <c r="M975" i="6"/>
  <c r="N975" i="6"/>
  <c r="T975" i="6"/>
  <c r="U975" i="6" s="1"/>
  <c r="M974" i="6"/>
  <c r="N974" i="6"/>
  <c r="T974" i="6"/>
  <c r="U974" i="6" s="1"/>
  <c r="M973" i="6"/>
  <c r="N973" i="6"/>
  <c r="T973" i="6"/>
  <c r="U973" i="6" s="1"/>
  <c r="M972" i="6"/>
  <c r="N972" i="6"/>
  <c r="T972" i="6"/>
  <c r="U972" i="6" s="1"/>
  <c r="M971" i="6"/>
  <c r="N971" i="6"/>
  <c r="T971" i="6"/>
  <c r="U971" i="6" s="1"/>
  <c r="M970" i="6"/>
  <c r="N970" i="6"/>
  <c r="T970" i="6"/>
  <c r="U970" i="6" s="1"/>
  <c r="M969" i="6"/>
  <c r="N969" i="6"/>
  <c r="T969" i="6"/>
  <c r="U969" i="6" s="1"/>
  <c r="M968" i="6"/>
  <c r="N968" i="6"/>
  <c r="T968" i="6"/>
  <c r="U968" i="6" s="1"/>
  <c r="M967" i="6"/>
  <c r="N967" i="6"/>
  <c r="T967" i="6"/>
  <c r="U967" i="6" s="1"/>
  <c r="M966" i="6"/>
  <c r="N966" i="6"/>
  <c r="T966" i="6"/>
  <c r="U966" i="6" s="1"/>
  <c r="M965" i="6"/>
  <c r="N965" i="6"/>
  <c r="T965" i="6"/>
  <c r="U965" i="6" s="1"/>
  <c r="M964" i="6"/>
  <c r="N964" i="6"/>
  <c r="T964" i="6"/>
  <c r="U964" i="6" s="1"/>
  <c r="M963" i="6"/>
  <c r="N963" i="6"/>
  <c r="T963" i="6"/>
  <c r="U963" i="6" s="1"/>
  <c r="M962" i="6"/>
  <c r="N962" i="6"/>
  <c r="T962" i="6"/>
  <c r="U962" i="6" s="1"/>
  <c r="M961" i="6"/>
  <c r="N961" i="6"/>
  <c r="T961" i="6"/>
  <c r="U961" i="6" s="1"/>
  <c r="M960" i="6"/>
  <c r="N960" i="6"/>
  <c r="T960" i="6"/>
  <c r="U960" i="6" s="1"/>
  <c r="M959" i="6"/>
  <c r="N959" i="6"/>
  <c r="T959" i="6"/>
  <c r="U959" i="6" s="1"/>
  <c r="M958" i="6"/>
  <c r="N958" i="6"/>
  <c r="T958" i="6"/>
  <c r="U958" i="6" s="1"/>
  <c r="M957" i="6"/>
  <c r="N957" i="6"/>
  <c r="T957" i="6"/>
  <c r="U957" i="6" s="1"/>
  <c r="M956" i="6"/>
  <c r="N956" i="6"/>
  <c r="T956" i="6"/>
  <c r="U956" i="6" s="1"/>
  <c r="M955" i="6"/>
  <c r="N955" i="6"/>
  <c r="T955" i="6"/>
  <c r="U955" i="6" s="1"/>
  <c r="M954" i="6"/>
  <c r="N954" i="6"/>
  <c r="T954" i="6"/>
  <c r="U954" i="6" s="1"/>
  <c r="M953" i="6"/>
  <c r="N953" i="6"/>
  <c r="T953" i="6"/>
  <c r="U953" i="6" s="1"/>
  <c r="M952" i="6"/>
  <c r="N952" i="6"/>
  <c r="T952" i="6"/>
  <c r="U952" i="6" s="1"/>
  <c r="M951" i="6"/>
  <c r="N951" i="6"/>
  <c r="T951" i="6"/>
  <c r="U951" i="6" s="1"/>
  <c r="M950" i="6"/>
  <c r="N950" i="6"/>
  <c r="T950" i="6"/>
  <c r="U950" i="6" s="1"/>
  <c r="M949" i="6"/>
  <c r="N949" i="6"/>
  <c r="T949" i="6"/>
  <c r="U949" i="6" s="1"/>
  <c r="M948" i="6"/>
  <c r="N948" i="6"/>
  <c r="T948" i="6"/>
  <c r="U948" i="6" s="1"/>
  <c r="M947" i="6"/>
  <c r="N947" i="6"/>
  <c r="T947" i="6"/>
  <c r="U947" i="6" s="1"/>
  <c r="M946" i="6"/>
  <c r="N946" i="6"/>
  <c r="T946" i="6"/>
  <c r="U946" i="6" s="1"/>
  <c r="M945" i="6"/>
  <c r="N945" i="6"/>
  <c r="T945" i="6"/>
  <c r="U945" i="6" s="1"/>
  <c r="M944" i="6"/>
  <c r="N944" i="6"/>
  <c r="T944" i="6"/>
  <c r="U944" i="6" s="1"/>
  <c r="M943" i="6"/>
  <c r="N943" i="6"/>
  <c r="T943" i="6"/>
  <c r="U943" i="6" s="1"/>
  <c r="M942" i="6"/>
  <c r="N942" i="6"/>
  <c r="T942" i="6"/>
  <c r="U942" i="6" s="1"/>
  <c r="M941" i="6"/>
  <c r="N941" i="6"/>
  <c r="T941" i="6"/>
  <c r="U941" i="6" s="1"/>
  <c r="M940" i="6"/>
  <c r="N940" i="6"/>
  <c r="T940" i="6"/>
  <c r="U940" i="6" s="1"/>
  <c r="M939" i="6"/>
  <c r="N939" i="6"/>
  <c r="T939" i="6"/>
  <c r="U939" i="6" s="1"/>
  <c r="M938" i="6"/>
  <c r="N938" i="6"/>
  <c r="T938" i="6"/>
  <c r="U938" i="6" s="1"/>
  <c r="M937" i="6"/>
  <c r="N937" i="6"/>
  <c r="T937" i="6"/>
  <c r="U937" i="6" s="1"/>
  <c r="M936" i="6"/>
  <c r="N936" i="6"/>
  <c r="T936" i="6"/>
  <c r="U936" i="6" s="1"/>
  <c r="M935" i="6"/>
  <c r="N935" i="6"/>
  <c r="T935" i="6"/>
  <c r="U935" i="6" s="1"/>
  <c r="M934" i="6"/>
  <c r="N934" i="6"/>
  <c r="T934" i="6"/>
  <c r="U934" i="6" s="1"/>
  <c r="M933" i="6"/>
  <c r="N933" i="6"/>
  <c r="T933" i="6"/>
  <c r="U933" i="6" s="1"/>
  <c r="M932" i="6"/>
  <c r="N932" i="6"/>
  <c r="T932" i="6"/>
  <c r="U932" i="6" s="1"/>
  <c r="M931" i="6"/>
  <c r="N931" i="6"/>
  <c r="T931" i="6"/>
  <c r="U931" i="6" s="1"/>
  <c r="M930" i="6"/>
  <c r="N930" i="6"/>
  <c r="T930" i="6"/>
  <c r="U930" i="6" s="1"/>
  <c r="M929" i="6"/>
  <c r="N929" i="6"/>
  <c r="T929" i="6"/>
  <c r="U929" i="6" s="1"/>
  <c r="M928" i="6"/>
  <c r="N928" i="6"/>
  <c r="T928" i="6"/>
  <c r="U928" i="6" s="1"/>
  <c r="M927" i="6"/>
  <c r="N927" i="6"/>
  <c r="T927" i="6"/>
  <c r="U927" i="6" s="1"/>
  <c r="M926" i="6"/>
  <c r="N926" i="6"/>
  <c r="T926" i="6"/>
  <c r="U926" i="6" s="1"/>
  <c r="M925" i="6"/>
  <c r="N925" i="6"/>
  <c r="T925" i="6"/>
  <c r="U925" i="6" s="1"/>
  <c r="M924" i="6"/>
  <c r="N924" i="6"/>
  <c r="T924" i="6"/>
  <c r="U924" i="6" s="1"/>
  <c r="M923" i="6"/>
  <c r="N923" i="6"/>
  <c r="T923" i="6"/>
  <c r="U923" i="6" s="1"/>
  <c r="M922" i="6"/>
  <c r="N922" i="6"/>
  <c r="T922" i="6"/>
  <c r="U922" i="6" s="1"/>
  <c r="M921" i="6"/>
  <c r="N921" i="6"/>
  <c r="T921" i="6"/>
  <c r="U921" i="6" s="1"/>
  <c r="M920" i="6"/>
  <c r="N920" i="6"/>
  <c r="T920" i="6"/>
  <c r="U920" i="6" s="1"/>
  <c r="M919" i="6"/>
  <c r="N919" i="6"/>
  <c r="T919" i="6"/>
  <c r="U919" i="6" s="1"/>
  <c r="M918" i="6"/>
  <c r="N918" i="6"/>
  <c r="T918" i="6"/>
  <c r="U918" i="6" s="1"/>
  <c r="M917" i="6"/>
  <c r="N917" i="6"/>
  <c r="T917" i="6"/>
  <c r="U917" i="6" s="1"/>
  <c r="M916" i="6"/>
  <c r="N916" i="6"/>
  <c r="T916" i="6"/>
  <c r="U916" i="6" s="1"/>
  <c r="M915" i="6"/>
  <c r="N915" i="6"/>
  <c r="T915" i="6"/>
  <c r="U915" i="6" s="1"/>
  <c r="M914" i="6"/>
  <c r="N914" i="6"/>
  <c r="T914" i="6"/>
  <c r="U914" i="6" s="1"/>
  <c r="M913" i="6"/>
  <c r="N913" i="6"/>
  <c r="T913" i="6"/>
  <c r="U913" i="6" s="1"/>
  <c r="M912" i="6"/>
  <c r="N912" i="6"/>
  <c r="T912" i="6"/>
  <c r="U912" i="6" s="1"/>
  <c r="M911" i="6"/>
  <c r="N911" i="6"/>
  <c r="T911" i="6"/>
  <c r="U911" i="6" s="1"/>
  <c r="M910" i="6"/>
  <c r="N910" i="6"/>
  <c r="T910" i="6"/>
  <c r="U910" i="6" s="1"/>
  <c r="M909" i="6"/>
  <c r="N909" i="6"/>
  <c r="T909" i="6"/>
  <c r="U909" i="6" s="1"/>
  <c r="M908" i="6"/>
  <c r="N908" i="6"/>
  <c r="T908" i="6"/>
  <c r="U908" i="6" s="1"/>
  <c r="M907" i="6"/>
  <c r="N907" i="6"/>
  <c r="T907" i="6"/>
  <c r="U907" i="6" s="1"/>
  <c r="M906" i="6"/>
  <c r="N906" i="6"/>
  <c r="T906" i="6"/>
  <c r="U906" i="6" s="1"/>
  <c r="M905" i="6"/>
  <c r="N905" i="6"/>
  <c r="T905" i="6"/>
  <c r="U905" i="6" s="1"/>
  <c r="M904" i="6"/>
  <c r="N904" i="6"/>
  <c r="T904" i="6"/>
  <c r="U904" i="6" s="1"/>
  <c r="M903" i="6"/>
  <c r="N903" i="6"/>
  <c r="T903" i="6"/>
  <c r="U903" i="6" s="1"/>
  <c r="M902" i="6"/>
  <c r="N902" i="6"/>
  <c r="T902" i="6"/>
  <c r="U902" i="6" s="1"/>
  <c r="M901" i="6"/>
  <c r="N901" i="6"/>
  <c r="T901" i="6"/>
  <c r="U901" i="6" s="1"/>
  <c r="M900" i="6"/>
  <c r="N900" i="6"/>
  <c r="T900" i="6"/>
  <c r="U900" i="6" s="1"/>
  <c r="M899" i="6"/>
  <c r="N899" i="6"/>
  <c r="T899" i="6"/>
  <c r="U899" i="6" s="1"/>
  <c r="M898" i="6"/>
  <c r="N898" i="6"/>
  <c r="T898" i="6"/>
  <c r="U898" i="6" s="1"/>
  <c r="M897" i="6"/>
  <c r="N897" i="6"/>
  <c r="T897" i="6"/>
  <c r="U897" i="6" s="1"/>
  <c r="M896" i="6"/>
  <c r="N896" i="6"/>
  <c r="T896" i="6"/>
  <c r="U896" i="6" s="1"/>
  <c r="M895" i="6"/>
  <c r="N895" i="6"/>
  <c r="T895" i="6"/>
  <c r="U895" i="6" s="1"/>
  <c r="M894" i="6"/>
  <c r="N894" i="6"/>
  <c r="T894" i="6"/>
  <c r="U894" i="6" s="1"/>
  <c r="M893" i="6"/>
  <c r="N893" i="6"/>
  <c r="T893" i="6"/>
  <c r="U893" i="6" s="1"/>
  <c r="M892" i="6"/>
  <c r="N892" i="6"/>
  <c r="T892" i="6"/>
  <c r="U892" i="6" s="1"/>
  <c r="M891" i="6"/>
  <c r="N891" i="6"/>
  <c r="T891" i="6"/>
  <c r="U891" i="6" s="1"/>
  <c r="M890" i="6"/>
  <c r="N890" i="6"/>
  <c r="T890" i="6"/>
  <c r="U890" i="6" s="1"/>
  <c r="M889" i="6"/>
  <c r="N889" i="6"/>
  <c r="T889" i="6"/>
  <c r="U889" i="6" s="1"/>
  <c r="M888" i="6"/>
  <c r="N888" i="6"/>
  <c r="T888" i="6"/>
  <c r="U888" i="6" s="1"/>
  <c r="M887" i="6"/>
  <c r="N887" i="6"/>
  <c r="T887" i="6"/>
  <c r="U887" i="6" s="1"/>
  <c r="M886" i="6"/>
  <c r="N886" i="6"/>
  <c r="T886" i="6"/>
  <c r="U886" i="6" s="1"/>
  <c r="M885" i="6"/>
  <c r="N885" i="6"/>
  <c r="T885" i="6"/>
  <c r="U885" i="6" s="1"/>
  <c r="M884" i="6"/>
  <c r="N884" i="6"/>
  <c r="T884" i="6"/>
  <c r="U884" i="6" s="1"/>
  <c r="M883" i="6"/>
  <c r="N883" i="6"/>
  <c r="T883" i="6"/>
  <c r="U883" i="6" s="1"/>
  <c r="M882" i="6"/>
  <c r="N882" i="6"/>
  <c r="T882" i="6"/>
  <c r="U882" i="6" s="1"/>
  <c r="M881" i="6"/>
  <c r="N881" i="6"/>
  <c r="T881" i="6"/>
  <c r="U881" i="6" s="1"/>
  <c r="M880" i="6"/>
  <c r="N880" i="6"/>
  <c r="T880" i="6"/>
  <c r="U880" i="6" s="1"/>
  <c r="M879" i="6"/>
  <c r="N879" i="6"/>
  <c r="T879" i="6"/>
  <c r="U879" i="6" s="1"/>
  <c r="M878" i="6"/>
  <c r="N878" i="6"/>
  <c r="T878" i="6"/>
  <c r="U878" i="6" s="1"/>
  <c r="M877" i="6"/>
  <c r="N877" i="6"/>
  <c r="T877" i="6"/>
  <c r="U877" i="6" s="1"/>
  <c r="M876" i="6"/>
  <c r="N876" i="6"/>
  <c r="T876" i="6"/>
  <c r="U876" i="6" s="1"/>
  <c r="M875" i="6"/>
  <c r="N875" i="6"/>
  <c r="T875" i="6"/>
  <c r="U875" i="6" s="1"/>
  <c r="M874" i="6"/>
  <c r="N874" i="6"/>
  <c r="T874" i="6"/>
  <c r="U874" i="6" s="1"/>
  <c r="M873" i="6"/>
  <c r="N873" i="6"/>
  <c r="T873" i="6"/>
  <c r="U873" i="6" s="1"/>
  <c r="M872" i="6"/>
  <c r="N872" i="6"/>
  <c r="T872" i="6"/>
  <c r="U872" i="6" s="1"/>
  <c r="M871" i="6"/>
  <c r="N871" i="6"/>
  <c r="T871" i="6"/>
  <c r="U871" i="6" s="1"/>
  <c r="M870" i="6"/>
  <c r="N870" i="6"/>
  <c r="T870" i="6"/>
  <c r="U870" i="6" s="1"/>
  <c r="M869" i="6"/>
  <c r="N869" i="6"/>
  <c r="T869" i="6"/>
  <c r="U869" i="6" s="1"/>
  <c r="M868" i="6"/>
  <c r="N868" i="6"/>
  <c r="T868" i="6"/>
  <c r="U868" i="6" s="1"/>
  <c r="M867" i="6"/>
  <c r="N867" i="6"/>
  <c r="T867" i="6"/>
  <c r="U867" i="6" s="1"/>
  <c r="M866" i="6"/>
  <c r="N866" i="6"/>
  <c r="T866" i="6"/>
  <c r="U866" i="6" s="1"/>
  <c r="M865" i="6"/>
  <c r="N865" i="6"/>
  <c r="T865" i="6"/>
  <c r="U865" i="6" s="1"/>
  <c r="M864" i="6"/>
  <c r="N864" i="6"/>
  <c r="T864" i="6"/>
  <c r="U864" i="6" s="1"/>
  <c r="M863" i="6"/>
  <c r="N863" i="6"/>
  <c r="T863" i="6"/>
  <c r="U863" i="6" s="1"/>
  <c r="M862" i="6"/>
  <c r="N862" i="6"/>
  <c r="T862" i="6"/>
  <c r="U862" i="6" s="1"/>
  <c r="M861" i="6"/>
  <c r="N861" i="6"/>
  <c r="T861" i="6"/>
  <c r="U861" i="6" s="1"/>
  <c r="M860" i="6"/>
  <c r="N860" i="6"/>
  <c r="T860" i="6"/>
  <c r="U860" i="6" s="1"/>
  <c r="M859" i="6"/>
  <c r="N859" i="6"/>
  <c r="T859" i="6"/>
  <c r="U859" i="6" s="1"/>
  <c r="M858" i="6"/>
  <c r="N858" i="6"/>
  <c r="T858" i="6"/>
  <c r="U858" i="6" s="1"/>
  <c r="M857" i="6"/>
  <c r="N857" i="6"/>
  <c r="T857" i="6"/>
  <c r="U857" i="6" s="1"/>
  <c r="M856" i="6"/>
  <c r="N856" i="6"/>
  <c r="T856" i="6"/>
  <c r="U856" i="6" s="1"/>
  <c r="M855" i="6"/>
  <c r="N855" i="6"/>
  <c r="T855" i="6"/>
  <c r="U855" i="6" s="1"/>
  <c r="M854" i="6"/>
  <c r="N854" i="6"/>
  <c r="T854" i="6"/>
  <c r="U854" i="6" s="1"/>
  <c r="M853" i="6"/>
  <c r="N853" i="6"/>
  <c r="T853" i="6"/>
  <c r="U853" i="6" s="1"/>
  <c r="M852" i="6"/>
  <c r="N852" i="6"/>
  <c r="T852" i="6"/>
  <c r="U852" i="6" s="1"/>
  <c r="M851" i="6"/>
  <c r="N851" i="6"/>
  <c r="T851" i="6"/>
  <c r="U851" i="6" s="1"/>
  <c r="M850" i="6"/>
  <c r="N850" i="6"/>
  <c r="T850" i="6"/>
  <c r="U850" i="6" s="1"/>
  <c r="M849" i="6"/>
  <c r="N849" i="6"/>
  <c r="T849" i="6"/>
  <c r="U849" i="6" s="1"/>
  <c r="M848" i="6"/>
  <c r="N848" i="6"/>
  <c r="T848" i="6"/>
  <c r="U848" i="6" s="1"/>
  <c r="M847" i="6"/>
  <c r="N847" i="6"/>
  <c r="T847" i="6"/>
  <c r="U847" i="6" s="1"/>
  <c r="M846" i="6"/>
  <c r="N846" i="6"/>
  <c r="T846" i="6"/>
  <c r="U846" i="6" s="1"/>
  <c r="M845" i="6"/>
  <c r="N845" i="6"/>
  <c r="T845" i="6"/>
  <c r="U845" i="6" s="1"/>
  <c r="M844" i="6"/>
  <c r="N844" i="6"/>
  <c r="T844" i="6"/>
  <c r="U844" i="6" s="1"/>
  <c r="M843" i="6"/>
  <c r="N843" i="6"/>
  <c r="T843" i="6"/>
  <c r="U843" i="6" s="1"/>
  <c r="M842" i="6"/>
  <c r="N842" i="6"/>
  <c r="T842" i="6"/>
  <c r="U842" i="6" s="1"/>
  <c r="M841" i="6"/>
  <c r="N841" i="6"/>
  <c r="T841" i="6"/>
  <c r="U841" i="6" s="1"/>
  <c r="M840" i="6"/>
  <c r="N840" i="6"/>
  <c r="T840" i="6"/>
  <c r="U840" i="6" s="1"/>
  <c r="M839" i="6"/>
  <c r="N839" i="6"/>
  <c r="T839" i="6"/>
  <c r="U839" i="6" s="1"/>
  <c r="M838" i="6"/>
  <c r="N838" i="6"/>
  <c r="T838" i="6"/>
  <c r="U838" i="6" s="1"/>
  <c r="M837" i="6"/>
  <c r="N837" i="6"/>
  <c r="T837" i="6"/>
  <c r="U837" i="6" s="1"/>
  <c r="M836" i="6"/>
  <c r="N836" i="6"/>
  <c r="T836" i="6"/>
  <c r="U836" i="6" s="1"/>
  <c r="M835" i="6"/>
  <c r="N835" i="6"/>
  <c r="T835" i="6"/>
  <c r="U835" i="6" s="1"/>
  <c r="M834" i="6"/>
  <c r="N834" i="6"/>
  <c r="T834" i="6"/>
  <c r="U834" i="6" s="1"/>
  <c r="M833" i="6"/>
  <c r="N833" i="6"/>
  <c r="T833" i="6"/>
  <c r="U833" i="6" s="1"/>
  <c r="M832" i="6"/>
  <c r="N832" i="6"/>
  <c r="T832" i="6"/>
  <c r="U832" i="6" s="1"/>
  <c r="M831" i="6"/>
  <c r="N831" i="6"/>
  <c r="T831" i="6"/>
  <c r="U831" i="6" s="1"/>
  <c r="M830" i="6"/>
  <c r="N830" i="6"/>
  <c r="T830" i="6"/>
  <c r="U830" i="6" s="1"/>
  <c r="M829" i="6"/>
  <c r="N829" i="6"/>
  <c r="T829" i="6"/>
  <c r="U829" i="6" s="1"/>
  <c r="M828" i="6"/>
  <c r="N828" i="6"/>
  <c r="T828" i="6"/>
  <c r="U828" i="6" s="1"/>
  <c r="M827" i="6"/>
  <c r="N827" i="6"/>
  <c r="T827" i="6"/>
  <c r="U827" i="6" s="1"/>
  <c r="M826" i="6"/>
  <c r="N826" i="6"/>
  <c r="T826" i="6"/>
  <c r="U826" i="6" s="1"/>
  <c r="M825" i="6"/>
  <c r="N825" i="6"/>
  <c r="T825" i="6"/>
  <c r="U825" i="6" s="1"/>
  <c r="M824" i="6"/>
  <c r="N824" i="6"/>
  <c r="T824" i="6"/>
  <c r="U824" i="6" s="1"/>
  <c r="M823" i="6"/>
  <c r="N823" i="6"/>
  <c r="T823" i="6"/>
  <c r="U823" i="6" s="1"/>
  <c r="M822" i="6"/>
  <c r="N822" i="6"/>
  <c r="T822" i="6"/>
  <c r="U822" i="6" s="1"/>
  <c r="M821" i="6"/>
  <c r="N821" i="6"/>
  <c r="T821" i="6"/>
  <c r="U821" i="6" s="1"/>
  <c r="M820" i="6"/>
  <c r="N820" i="6"/>
  <c r="T820" i="6"/>
  <c r="U820" i="6" s="1"/>
  <c r="M819" i="6"/>
  <c r="N819" i="6"/>
  <c r="T819" i="6"/>
  <c r="U819" i="6" s="1"/>
  <c r="M818" i="6"/>
  <c r="N818" i="6"/>
  <c r="T818" i="6"/>
  <c r="U818" i="6" s="1"/>
  <c r="M817" i="6"/>
  <c r="N817" i="6"/>
  <c r="T817" i="6"/>
  <c r="U817" i="6" s="1"/>
  <c r="M816" i="6"/>
  <c r="N816" i="6"/>
  <c r="T816" i="6"/>
  <c r="U816" i="6" s="1"/>
  <c r="M815" i="6"/>
  <c r="N815" i="6"/>
  <c r="T815" i="6"/>
  <c r="U815" i="6" s="1"/>
  <c r="M814" i="6"/>
  <c r="N814" i="6"/>
  <c r="T814" i="6"/>
  <c r="U814" i="6" s="1"/>
  <c r="M813" i="6"/>
  <c r="N813" i="6"/>
  <c r="T813" i="6"/>
  <c r="U813" i="6" s="1"/>
  <c r="M812" i="6"/>
  <c r="N812" i="6"/>
  <c r="T812" i="6"/>
  <c r="U812" i="6" s="1"/>
  <c r="M811" i="6"/>
  <c r="N811" i="6"/>
  <c r="T811" i="6"/>
  <c r="U811" i="6" s="1"/>
  <c r="M810" i="6"/>
  <c r="N810" i="6"/>
  <c r="T810" i="6"/>
  <c r="U810" i="6" s="1"/>
  <c r="M809" i="6"/>
  <c r="N809" i="6"/>
  <c r="T809" i="6"/>
  <c r="U809" i="6" s="1"/>
  <c r="M808" i="6"/>
  <c r="N808" i="6"/>
  <c r="T808" i="6"/>
  <c r="U808" i="6" s="1"/>
  <c r="M807" i="6"/>
  <c r="N807" i="6"/>
  <c r="T807" i="6"/>
  <c r="U807" i="6" s="1"/>
  <c r="M806" i="6"/>
  <c r="N806" i="6"/>
  <c r="T806" i="6"/>
  <c r="U806" i="6" s="1"/>
  <c r="M805" i="6"/>
  <c r="N805" i="6"/>
  <c r="T805" i="6"/>
  <c r="U805" i="6" s="1"/>
  <c r="M804" i="6"/>
  <c r="N804" i="6"/>
  <c r="T804" i="6"/>
  <c r="U804" i="6" s="1"/>
  <c r="M803" i="6"/>
  <c r="N803" i="6"/>
  <c r="T803" i="6"/>
  <c r="U803" i="6" s="1"/>
  <c r="M802" i="6"/>
  <c r="N802" i="6"/>
  <c r="T802" i="6"/>
  <c r="U802" i="6" s="1"/>
  <c r="M801" i="6"/>
  <c r="N801" i="6"/>
  <c r="T801" i="6"/>
  <c r="U801" i="6" s="1"/>
  <c r="M800" i="6"/>
  <c r="N800" i="6"/>
  <c r="T800" i="6"/>
  <c r="U800" i="6" s="1"/>
  <c r="M799" i="6"/>
  <c r="N799" i="6"/>
  <c r="T799" i="6"/>
  <c r="U799" i="6" s="1"/>
  <c r="M798" i="6"/>
  <c r="N798" i="6"/>
  <c r="T798" i="6"/>
  <c r="U798" i="6" s="1"/>
  <c r="M797" i="6"/>
  <c r="N797" i="6"/>
  <c r="T797" i="6"/>
  <c r="U797" i="6" s="1"/>
  <c r="M796" i="6"/>
  <c r="N796" i="6"/>
  <c r="T796" i="6"/>
  <c r="U796" i="6" s="1"/>
  <c r="M795" i="6"/>
  <c r="N795" i="6"/>
  <c r="T795" i="6"/>
  <c r="U795" i="6" s="1"/>
  <c r="M794" i="6"/>
  <c r="N794" i="6"/>
  <c r="T794" i="6"/>
  <c r="U794" i="6" s="1"/>
  <c r="M793" i="6"/>
  <c r="N793" i="6"/>
  <c r="T793" i="6"/>
  <c r="U793" i="6" s="1"/>
  <c r="M792" i="6"/>
  <c r="N792" i="6"/>
  <c r="T792" i="6"/>
  <c r="U792" i="6" s="1"/>
  <c r="M791" i="6"/>
  <c r="N791" i="6"/>
  <c r="T791" i="6"/>
  <c r="U791" i="6" s="1"/>
  <c r="M790" i="6"/>
  <c r="N790" i="6"/>
  <c r="T790" i="6"/>
  <c r="U790" i="6" s="1"/>
  <c r="M789" i="6"/>
  <c r="N789" i="6"/>
  <c r="T789" i="6"/>
  <c r="U789" i="6" s="1"/>
  <c r="M788" i="6"/>
  <c r="N788" i="6"/>
  <c r="T788" i="6"/>
  <c r="U788" i="6" s="1"/>
  <c r="M787" i="6"/>
  <c r="N787" i="6"/>
  <c r="T787" i="6"/>
  <c r="U787" i="6" s="1"/>
  <c r="M786" i="6"/>
  <c r="N786" i="6"/>
  <c r="T786" i="6"/>
  <c r="U786" i="6" s="1"/>
  <c r="M785" i="6"/>
  <c r="N785" i="6"/>
  <c r="T785" i="6"/>
  <c r="U785" i="6" s="1"/>
  <c r="M784" i="6"/>
  <c r="N784" i="6"/>
  <c r="T784" i="6"/>
  <c r="U784" i="6" s="1"/>
  <c r="M783" i="6"/>
  <c r="N783" i="6"/>
  <c r="T783" i="6"/>
  <c r="U783" i="6" s="1"/>
  <c r="M782" i="6"/>
  <c r="N782" i="6"/>
  <c r="T782" i="6"/>
  <c r="U782" i="6" s="1"/>
  <c r="M781" i="6"/>
  <c r="N781" i="6"/>
  <c r="T781" i="6"/>
  <c r="U781" i="6" s="1"/>
  <c r="M780" i="6"/>
  <c r="N780" i="6"/>
  <c r="T780" i="6"/>
  <c r="U780" i="6" s="1"/>
  <c r="M779" i="6"/>
  <c r="N779" i="6"/>
  <c r="T779" i="6"/>
  <c r="U779" i="6" s="1"/>
  <c r="M778" i="6"/>
  <c r="N778" i="6"/>
  <c r="T778" i="6"/>
  <c r="U778" i="6" s="1"/>
  <c r="M777" i="6"/>
  <c r="N777" i="6"/>
  <c r="T777" i="6"/>
  <c r="U777" i="6" s="1"/>
  <c r="M776" i="6"/>
  <c r="N776" i="6"/>
  <c r="T776" i="6"/>
  <c r="U776" i="6" s="1"/>
  <c r="M775" i="6"/>
  <c r="N775" i="6"/>
  <c r="T775" i="6"/>
  <c r="U775" i="6" s="1"/>
  <c r="M774" i="6"/>
  <c r="N774" i="6"/>
  <c r="T774" i="6"/>
  <c r="U774" i="6" s="1"/>
  <c r="M773" i="6"/>
  <c r="N773" i="6"/>
  <c r="T773" i="6"/>
  <c r="U773" i="6" s="1"/>
  <c r="M772" i="6"/>
  <c r="N772" i="6"/>
  <c r="T772" i="6"/>
  <c r="U772" i="6" s="1"/>
  <c r="M771" i="6"/>
  <c r="N771" i="6"/>
  <c r="T771" i="6"/>
  <c r="U771" i="6" s="1"/>
  <c r="M770" i="6"/>
  <c r="N770" i="6"/>
  <c r="T770" i="6"/>
  <c r="U770" i="6" s="1"/>
  <c r="M769" i="6"/>
  <c r="N769" i="6"/>
  <c r="T769" i="6"/>
  <c r="U769" i="6" s="1"/>
  <c r="M768" i="6"/>
  <c r="N768" i="6"/>
  <c r="T768" i="6"/>
  <c r="U768" i="6" s="1"/>
  <c r="M767" i="6"/>
  <c r="N767" i="6"/>
  <c r="T767" i="6"/>
  <c r="U767" i="6" s="1"/>
  <c r="M766" i="6"/>
  <c r="N766" i="6"/>
  <c r="T766" i="6"/>
  <c r="U766" i="6" s="1"/>
  <c r="M765" i="6"/>
  <c r="N765" i="6"/>
  <c r="T765" i="6"/>
  <c r="U765" i="6" s="1"/>
  <c r="M764" i="6"/>
  <c r="N764" i="6"/>
  <c r="T764" i="6"/>
  <c r="U764" i="6" s="1"/>
  <c r="M763" i="6"/>
  <c r="N763" i="6"/>
  <c r="T763" i="6"/>
  <c r="U763" i="6" s="1"/>
  <c r="M762" i="6"/>
  <c r="N762" i="6"/>
  <c r="T762" i="6"/>
  <c r="U762" i="6" s="1"/>
  <c r="M761" i="6"/>
  <c r="N761" i="6"/>
  <c r="T761" i="6"/>
  <c r="U761" i="6" s="1"/>
  <c r="M760" i="6"/>
  <c r="N760" i="6"/>
  <c r="T760" i="6"/>
  <c r="U760" i="6" s="1"/>
  <c r="M759" i="6"/>
  <c r="N759" i="6"/>
  <c r="T759" i="6"/>
  <c r="U759" i="6" s="1"/>
  <c r="M758" i="6"/>
  <c r="N758" i="6"/>
  <c r="T758" i="6"/>
  <c r="U758" i="6" s="1"/>
  <c r="M757" i="6"/>
  <c r="N757" i="6"/>
  <c r="T757" i="6"/>
  <c r="U757" i="6" s="1"/>
  <c r="M756" i="6"/>
  <c r="N756" i="6"/>
  <c r="T756" i="6"/>
  <c r="U756" i="6" s="1"/>
  <c r="M755" i="6"/>
  <c r="N755" i="6"/>
  <c r="T755" i="6"/>
  <c r="U755" i="6" s="1"/>
  <c r="M754" i="6"/>
  <c r="N754" i="6"/>
  <c r="T754" i="6"/>
  <c r="U754" i="6" s="1"/>
  <c r="M753" i="6"/>
  <c r="N753" i="6"/>
  <c r="T753" i="6"/>
  <c r="U753" i="6" s="1"/>
  <c r="M752" i="6"/>
  <c r="N752" i="6"/>
  <c r="T752" i="6"/>
  <c r="U752" i="6" s="1"/>
  <c r="M751" i="6"/>
  <c r="N751" i="6"/>
  <c r="T751" i="6"/>
  <c r="U751" i="6" s="1"/>
  <c r="M750" i="6"/>
  <c r="N750" i="6"/>
  <c r="T750" i="6"/>
  <c r="U750" i="6" s="1"/>
  <c r="M749" i="6"/>
  <c r="N749" i="6"/>
  <c r="T749" i="6"/>
  <c r="U749" i="6" s="1"/>
  <c r="M748" i="6"/>
  <c r="N748" i="6"/>
  <c r="T748" i="6"/>
  <c r="U748" i="6" s="1"/>
  <c r="M747" i="6"/>
  <c r="N747" i="6"/>
  <c r="T747" i="6"/>
  <c r="U747" i="6" s="1"/>
  <c r="M746" i="6"/>
  <c r="N746" i="6"/>
  <c r="T746" i="6"/>
  <c r="U746" i="6" s="1"/>
  <c r="M745" i="6"/>
  <c r="N745" i="6"/>
  <c r="T745" i="6"/>
  <c r="U745" i="6" s="1"/>
  <c r="M744" i="6"/>
  <c r="N744" i="6"/>
  <c r="T744" i="6"/>
  <c r="U744" i="6" s="1"/>
  <c r="M743" i="6"/>
  <c r="N743" i="6"/>
  <c r="T743" i="6"/>
  <c r="U743" i="6" s="1"/>
  <c r="M742" i="6"/>
  <c r="N742" i="6"/>
  <c r="T742" i="6"/>
  <c r="U742" i="6" s="1"/>
  <c r="M741" i="6"/>
  <c r="N741" i="6"/>
  <c r="T741" i="6"/>
  <c r="U741" i="6" s="1"/>
  <c r="M740" i="6"/>
  <c r="N740" i="6"/>
  <c r="T740" i="6"/>
  <c r="U740" i="6" s="1"/>
  <c r="M739" i="6"/>
  <c r="N739" i="6"/>
  <c r="T739" i="6"/>
  <c r="U739" i="6" s="1"/>
  <c r="M738" i="6"/>
  <c r="N738" i="6"/>
  <c r="T738" i="6"/>
  <c r="U738" i="6" s="1"/>
  <c r="M737" i="6"/>
  <c r="N737" i="6"/>
  <c r="T737" i="6"/>
  <c r="U737" i="6" s="1"/>
  <c r="M736" i="6"/>
  <c r="N736" i="6"/>
  <c r="T736" i="6"/>
  <c r="U736" i="6" s="1"/>
  <c r="M735" i="6"/>
  <c r="N735" i="6"/>
  <c r="T735" i="6"/>
  <c r="U735" i="6" s="1"/>
  <c r="M734" i="6"/>
  <c r="N734" i="6"/>
  <c r="T734" i="6"/>
  <c r="U734" i="6" s="1"/>
  <c r="M733" i="6"/>
  <c r="N733" i="6"/>
  <c r="T733" i="6"/>
  <c r="U733" i="6" s="1"/>
  <c r="M732" i="6"/>
  <c r="N732" i="6"/>
  <c r="T732" i="6"/>
  <c r="U732" i="6" s="1"/>
  <c r="M731" i="6"/>
  <c r="N731" i="6"/>
  <c r="T731" i="6"/>
  <c r="U731" i="6" s="1"/>
  <c r="M730" i="6"/>
  <c r="N730" i="6"/>
  <c r="T730" i="6"/>
  <c r="U730" i="6" s="1"/>
  <c r="M729" i="6"/>
  <c r="N729" i="6"/>
  <c r="T729" i="6"/>
  <c r="U729" i="6" s="1"/>
  <c r="M728" i="6"/>
  <c r="N728" i="6"/>
  <c r="T728" i="6"/>
  <c r="U728" i="6" s="1"/>
  <c r="M727" i="6"/>
  <c r="N727" i="6"/>
  <c r="T727" i="6"/>
  <c r="U727" i="6" s="1"/>
  <c r="M726" i="6"/>
  <c r="N726" i="6"/>
  <c r="T726" i="6"/>
  <c r="U726" i="6" s="1"/>
  <c r="M725" i="6"/>
  <c r="N725" i="6"/>
  <c r="T725" i="6"/>
  <c r="U725" i="6" s="1"/>
  <c r="M724" i="6"/>
  <c r="N724" i="6"/>
  <c r="T724" i="6"/>
  <c r="U724" i="6" s="1"/>
  <c r="M723" i="6"/>
  <c r="N723" i="6"/>
  <c r="T723" i="6"/>
  <c r="U723" i="6" s="1"/>
  <c r="M722" i="6"/>
  <c r="N722" i="6"/>
  <c r="T722" i="6"/>
  <c r="U722" i="6" s="1"/>
  <c r="M721" i="6"/>
  <c r="N721" i="6"/>
  <c r="T721" i="6"/>
  <c r="U721" i="6" s="1"/>
  <c r="M720" i="6"/>
  <c r="N720" i="6"/>
  <c r="T720" i="6"/>
  <c r="U720" i="6" s="1"/>
  <c r="M719" i="6"/>
  <c r="N719" i="6"/>
  <c r="T719" i="6"/>
  <c r="U719" i="6" s="1"/>
  <c r="M718" i="6"/>
  <c r="N718" i="6"/>
  <c r="T718" i="6"/>
  <c r="U718" i="6" s="1"/>
  <c r="M717" i="6"/>
  <c r="N717" i="6"/>
  <c r="T717" i="6"/>
  <c r="U717" i="6" s="1"/>
  <c r="M716" i="6"/>
  <c r="N716" i="6"/>
  <c r="T716" i="6"/>
  <c r="U716" i="6" s="1"/>
  <c r="M715" i="6"/>
  <c r="N715" i="6"/>
  <c r="T715" i="6"/>
  <c r="U715" i="6" s="1"/>
  <c r="M714" i="6"/>
  <c r="N714" i="6"/>
  <c r="T714" i="6"/>
  <c r="U714" i="6" s="1"/>
  <c r="M713" i="6"/>
  <c r="N713" i="6"/>
  <c r="T713" i="6"/>
  <c r="U713" i="6" s="1"/>
  <c r="M712" i="6"/>
  <c r="N712" i="6"/>
  <c r="T712" i="6"/>
  <c r="U712" i="6" s="1"/>
  <c r="M711" i="6"/>
  <c r="N711" i="6"/>
  <c r="T711" i="6"/>
  <c r="U711" i="6" s="1"/>
  <c r="M710" i="6"/>
  <c r="N710" i="6"/>
  <c r="T710" i="6"/>
  <c r="U710" i="6" s="1"/>
  <c r="M709" i="6"/>
  <c r="N709" i="6"/>
  <c r="T709" i="6"/>
  <c r="U709" i="6" s="1"/>
  <c r="M708" i="6"/>
  <c r="N708" i="6"/>
  <c r="T708" i="6"/>
  <c r="U708" i="6" s="1"/>
  <c r="M707" i="6"/>
  <c r="N707" i="6"/>
  <c r="T707" i="6"/>
  <c r="U707" i="6" s="1"/>
  <c r="M706" i="6"/>
  <c r="N706" i="6"/>
  <c r="T706" i="6"/>
  <c r="U706" i="6" s="1"/>
  <c r="M705" i="6"/>
  <c r="N705" i="6"/>
  <c r="T705" i="6"/>
  <c r="U705" i="6" s="1"/>
  <c r="M704" i="6"/>
  <c r="N704" i="6"/>
  <c r="T704" i="6"/>
  <c r="U704" i="6" s="1"/>
  <c r="M703" i="6"/>
  <c r="N703" i="6"/>
  <c r="T703" i="6"/>
  <c r="U703" i="6" s="1"/>
  <c r="M702" i="6"/>
  <c r="N702" i="6"/>
  <c r="T702" i="6"/>
  <c r="U702" i="6" s="1"/>
  <c r="M701" i="6"/>
  <c r="N701" i="6"/>
  <c r="T701" i="6"/>
  <c r="U701" i="6" s="1"/>
  <c r="M700" i="6"/>
  <c r="N700" i="6"/>
  <c r="T700" i="6"/>
  <c r="U700" i="6" s="1"/>
  <c r="M699" i="6"/>
  <c r="N699" i="6"/>
  <c r="T699" i="6"/>
  <c r="U699" i="6" s="1"/>
  <c r="M698" i="6"/>
  <c r="N698" i="6"/>
  <c r="T698" i="6"/>
  <c r="U698" i="6" s="1"/>
  <c r="M697" i="6"/>
  <c r="N697" i="6"/>
  <c r="T697" i="6"/>
  <c r="U697" i="6" s="1"/>
  <c r="M696" i="6"/>
  <c r="N696" i="6"/>
  <c r="T696" i="6"/>
  <c r="U696" i="6" s="1"/>
  <c r="M695" i="6"/>
  <c r="N695" i="6"/>
  <c r="T695" i="6"/>
  <c r="U695" i="6" s="1"/>
  <c r="M694" i="6"/>
  <c r="N694" i="6"/>
  <c r="T694" i="6"/>
  <c r="U694" i="6" s="1"/>
  <c r="M693" i="6"/>
  <c r="N693" i="6"/>
  <c r="T693" i="6"/>
  <c r="U693" i="6" s="1"/>
  <c r="M692" i="6"/>
  <c r="N692" i="6"/>
  <c r="T692" i="6"/>
  <c r="U692" i="6" s="1"/>
  <c r="M691" i="6"/>
  <c r="N691" i="6"/>
  <c r="T691" i="6"/>
  <c r="U691" i="6" s="1"/>
  <c r="M690" i="6"/>
  <c r="N690" i="6"/>
  <c r="T690" i="6"/>
  <c r="U690" i="6" s="1"/>
  <c r="M689" i="6"/>
  <c r="N689" i="6"/>
  <c r="T689" i="6"/>
  <c r="U689" i="6" s="1"/>
  <c r="M688" i="6"/>
  <c r="N688" i="6"/>
  <c r="T688" i="6"/>
  <c r="U688" i="6" s="1"/>
  <c r="M687" i="6"/>
  <c r="N687" i="6"/>
  <c r="T687" i="6"/>
  <c r="U687" i="6" s="1"/>
  <c r="M686" i="6"/>
  <c r="N686" i="6"/>
  <c r="T686" i="6"/>
  <c r="U686" i="6" s="1"/>
  <c r="M685" i="6"/>
  <c r="N685" i="6"/>
  <c r="T685" i="6"/>
  <c r="U685" i="6" s="1"/>
  <c r="M684" i="6"/>
  <c r="N684" i="6"/>
  <c r="T684" i="6"/>
  <c r="U684" i="6" s="1"/>
  <c r="M683" i="6"/>
  <c r="N683" i="6"/>
  <c r="T683" i="6"/>
  <c r="U683" i="6" s="1"/>
  <c r="M682" i="6"/>
  <c r="N682" i="6"/>
  <c r="T682" i="6"/>
  <c r="U682" i="6" s="1"/>
  <c r="M681" i="6"/>
  <c r="N681" i="6"/>
  <c r="T681" i="6"/>
  <c r="U681" i="6" s="1"/>
  <c r="M680" i="6"/>
  <c r="N680" i="6"/>
  <c r="T680" i="6"/>
  <c r="U680" i="6" s="1"/>
  <c r="M679" i="6"/>
  <c r="N679" i="6"/>
  <c r="T679" i="6"/>
  <c r="U679" i="6" s="1"/>
  <c r="M678" i="6"/>
  <c r="N678" i="6"/>
  <c r="T678" i="6"/>
  <c r="U678" i="6" s="1"/>
  <c r="M677" i="6"/>
  <c r="N677" i="6"/>
  <c r="T677" i="6"/>
  <c r="U677" i="6" s="1"/>
  <c r="M676" i="6"/>
  <c r="N676" i="6"/>
  <c r="T676" i="6"/>
  <c r="U676" i="6" s="1"/>
  <c r="M675" i="6"/>
  <c r="N675" i="6"/>
  <c r="T675" i="6"/>
  <c r="U675" i="6" s="1"/>
  <c r="M674" i="6"/>
  <c r="N674" i="6"/>
  <c r="T674" i="6"/>
  <c r="U674" i="6" s="1"/>
  <c r="M673" i="6"/>
  <c r="N673" i="6"/>
  <c r="T673" i="6"/>
  <c r="U673" i="6" s="1"/>
  <c r="M672" i="6"/>
  <c r="N672" i="6"/>
  <c r="T672" i="6"/>
  <c r="U672" i="6" s="1"/>
  <c r="M671" i="6"/>
  <c r="N671" i="6"/>
  <c r="T671" i="6"/>
  <c r="U671" i="6" s="1"/>
  <c r="M670" i="6"/>
  <c r="N670" i="6"/>
  <c r="T670" i="6"/>
  <c r="U670" i="6" s="1"/>
  <c r="M669" i="6"/>
  <c r="N669" i="6"/>
  <c r="T669" i="6"/>
  <c r="U669" i="6" s="1"/>
  <c r="M668" i="6"/>
  <c r="N668" i="6"/>
  <c r="T668" i="6"/>
  <c r="U668" i="6" s="1"/>
  <c r="M667" i="6"/>
  <c r="N667" i="6"/>
  <c r="T667" i="6"/>
  <c r="U667" i="6" s="1"/>
  <c r="M666" i="6"/>
  <c r="N666" i="6"/>
  <c r="T666" i="6"/>
  <c r="U666" i="6" s="1"/>
  <c r="M665" i="6"/>
  <c r="N665" i="6"/>
  <c r="T665" i="6"/>
  <c r="U665" i="6" s="1"/>
  <c r="M664" i="6"/>
  <c r="N664" i="6"/>
  <c r="T664" i="6"/>
  <c r="U664" i="6" s="1"/>
  <c r="M663" i="6"/>
  <c r="N663" i="6"/>
  <c r="T663" i="6"/>
  <c r="U663" i="6" s="1"/>
  <c r="M662" i="6"/>
  <c r="N662" i="6"/>
  <c r="T662" i="6"/>
  <c r="U662" i="6" s="1"/>
  <c r="M661" i="6"/>
  <c r="N661" i="6"/>
  <c r="T661" i="6"/>
  <c r="U661" i="6" s="1"/>
  <c r="M660" i="6"/>
  <c r="N660" i="6"/>
  <c r="T660" i="6"/>
  <c r="U660" i="6" s="1"/>
  <c r="M659" i="6"/>
  <c r="N659" i="6"/>
  <c r="T659" i="6"/>
  <c r="U659" i="6" s="1"/>
  <c r="M658" i="6"/>
  <c r="N658" i="6"/>
  <c r="T658" i="6"/>
  <c r="U658" i="6" s="1"/>
  <c r="M657" i="6"/>
  <c r="N657" i="6"/>
  <c r="T657" i="6"/>
  <c r="U657" i="6" s="1"/>
  <c r="M656" i="6"/>
  <c r="N656" i="6"/>
  <c r="T656" i="6"/>
  <c r="U656" i="6" s="1"/>
  <c r="M655" i="6"/>
  <c r="N655" i="6"/>
  <c r="T655" i="6"/>
  <c r="U655" i="6" s="1"/>
  <c r="M654" i="6"/>
  <c r="N654" i="6"/>
  <c r="T654" i="6"/>
  <c r="U654" i="6" s="1"/>
  <c r="M653" i="6"/>
  <c r="N653" i="6"/>
  <c r="T653" i="6"/>
  <c r="U653" i="6" s="1"/>
  <c r="M652" i="6"/>
  <c r="N652" i="6"/>
  <c r="T652" i="6"/>
  <c r="U652" i="6" s="1"/>
  <c r="M651" i="6"/>
  <c r="N651" i="6"/>
  <c r="T651" i="6"/>
  <c r="U651" i="6" s="1"/>
  <c r="M650" i="6"/>
  <c r="N650" i="6"/>
  <c r="T650" i="6"/>
  <c r="U650" i="6" s="1"/>
  <c r="M649" i="6"/>
  <c r="N649" i="6"/>
  <c r="T649" i="6"/>
  <c r="U649" i="6" s="1"/>
  <c r="M648" i="6"/>
  <c r="N648" i="6"/>
  <c r="T648" i="6"/>
  <c r="U648" i="6" s="1"/>
  <c r="M647" i="6"/>
  <c r="N647" i="6"/>
  <c r="T647" i="6"/>
  <c r="U647" i="6" s="1"/>
  <c r="M646" i="6"/>
  <c r="N646" i="6"/>
  <c r="T646" i="6"/>
  <c r="U646" i="6" s="1"/>
  <c r="M645" i="6"/>
  <c r="N645" i="6"/>
  <c r="T645" i="6"/>
  <c r="U645" i="6" s="1"/>
  <c r="M644" i="6"/>
  <c r="N644" i="6"/>
  <c r="T644" i="6"/>
  <c r="U644" i="6" s="1"/>
  <c r="M643" i="6"/>
  <c r="N643" i="6"/>
  <c r="T643" i="6"/>
  <c r="U643" i="6" s="1"/>
  <c r="M642" i="6"/>
  <c r="N642" i="6"/>
  <c r="T642" i="6"/>
  <c r="U642" i="6" s="1"/>
  <c r="M641" i="6"/>
  <c r="N641" i="6"/>
  <c r="T641" i="6"/>
  <c r="U641" i="6" s="1"/>
  <c r="M640" i="6"/>
  <c r="N640" i="6"/>
  <c r="T640" i="6"/>
  <c r="U640" i="6" s="1"/>
  <c r="M639" i="6"/>
  <c r="N639" i="6"/>
  <c r="T639" i="6"/>
  <c r="U639" i="6" s="1"/>
  <c r="M638" i="6"/>
  <c r="N638" i="6"/>
  <c r="T638" i="6"/>
  <c r="U638" i="6" s="1"/>
  <c r="M637" i="6"/>
  <c r="N637" i="6"/>
  <c r="T637" i="6"/>
  <c r="U637" i="6" s="1"/>
  <c r="M636" i="6"/>
  <c r="N636" i="6"/>
  <c r="T636" i="6"/>
  <c r="U636" i="6" s="1"/>
  <c r="M635" i="6"/>
  <c r="N635" i="6"/>
  <c r="T635" i="6"/>
  <c r="U635" i="6" s="1"/>
  <c r="M634" i="6"/>
  <c r="N634" i="6"/>
  <c r="T634" i="6"/>
  <c r="U634" i="6" s="1"/>
  <c r="M633" i="6"/>
  <c r="N633" i="6"/>
  <c r="T633" i="6"/>
  <c r="U633" i="6" s="1"/>
  <c r="M632" i="6"/>
  <c r="N632" i="6"/>
  <c r="T632" i="6"/>
  <c r="U632" i="6" s="1"/>
  <c r="M631" i="6"/>
  <c r="N631" i="6"/>
  <c r="T631" i="6"/>
  <c r="U631" i="6" s="1"/>
  <c r="M630" i="6"/>
  <c r="N630" i="6"/>
  <c r="T630" i="6"/>
  <c r="U630" i="6" s="1"/>
  <c r="M629" i="6"/>
  <c r="N629" i="6"/>
  <c r="T629" i="6"/>
  <c r="U629" i="6" s="1"/>
  <c r="M628" i="6"/>
  <c r="N628" i="6"/>
  <c r="T628" i="6"/>
  <c r="U628" i="6" s="1"/>
  <c r="M627" i="6"/>
  <c r="N627" i="6"/>
  <c r="T627" i="6"/>
  <c r="U627" i="6" s="1"/>
  <c r="M626" i="6"/>
  <c r="N626" i="6"/>
  <c r="T626" i="6"/>
  <c r="U626" i="6" s="1"/>
  <c r="M625" i="6"/>
  <c r="N625" i="6"/>
  <c r="T625" i="6"/>
  <c r="U625" i="6" s="1"/>
  <c r="M624" i="6"/>
  <c r="N624" i="6"/>
  <c r="T624" i="6"/>
  <c r="U624" i="6" s="1"/>
  <c r="M623" i="6"/>
  <c r="N623" i="6"/>
  <c r="T623" i="6"/>
  <c r="U623" i="6" s="1"/>
  <c r="M622" i="6"/>
  <c r="N622" i="6"/>
  <c r="T622" i="6"/>
  <c r="U622" i="6" s="1"/>
  <c r="M621" i="6"/>
  <c r="N621" i="6"/>
  <c r="T621" i="6"/>
  <c r="U621" i="6" s="1"/>
  <c r="M620" i="6"/>
  <c r="N620" i="6"/>
  <c r="T620" i="6"/>
  <c r="U620" i="6" s="1"/>
  <c r="M619" i="6"/>
  <c r="N619" i="6"/>
  <c r="T619" i="6"/>
  <c r="U619" i="6" s="1"/>
  <c r="M618" i="6"/>
  <c r="N618" i="6"/>
  <c r="T618" i="6"/>
  <c r="U618" i="6" s="1"/>
  <c r="M617" i="6"/>
  <c r="N617" i="6"/>
  <c r="T617" i="6"/>
  <c r="U617" i="6" s="1"/>
  <c r="M616" i="6"/>
  <c r="N616" i="6"/>
  <c r="T616" i="6"/>
  <c r="U616" i="6" s="1"/>
  <c r="M615" i="6"/>
  <c r="N615" i="6"/>
  <c r="T615" i="6"/>
  <c r="U615" i="6" s="1"/>
  <c r="M614" i="6"/>
  <c r="N614" i="6"/>
  <c r="T614" i="6"/>
  <c r="U614" i="6" s="1"/>
  <c r="M613" i="6"/>
  <c r="N613" i="6"/>
  <c r="T613" i="6"/>
  <c r="U613" i="6" s="1"/>
  <c r="M612" i="6"/>
  <c r="N612" i="6"/>
  <c r="T612" i="6"/>
  <c r="U612" i="6" s="1"/>
  <c r="M611" i="6"/>
  <c r="N611" i="6"/>
  <c r="T611" i="6"/>
  <c r="U611" i="6" s="1"/>
  <c r="M610" i="6"/>
  <c r="N610" i="6"/>
  <c r="T610" i="6"/>
  <c r="U610" i="6" s="1"/>
  <c r="M609" i="6"/>
  <c r="N609" i="6"/>
  <c r="T609" i="6"/>
  <c r="U609" i="6" s="1"/>
  <c r="M608" i="6"/>
  <c r="N608" i="6"/>
  <c r="T608" i="6"/>
  <c r="U608" i="6" s="1"/>
  <c r="M607" i="6"/>
  <c r="N607" i="6"/>
  <c r="T607" i="6"/>
  <c r="U607" i="6" s="1"/>
  <c r="M606" i="6"/>
  <c r="N606" i="6"/>
  <c r="T606" i="6"/>
  <c r="U606" i="6" s="1"/>
  <c r="M605" i="6"/>
  <c r="N605" i="6"/>
  <c r="T605" i="6"/>
  <c r="U605" i="6" s="1"/>
  <c r="M604" i="6"/>
  <c r="N604" i="6"/>
  <c r="T604" i="6"/>
  <c r="U604" i="6" s="1"/>
  <c r="M603" i="6"/>
  <c r="N603" i="6"/>
  <c r="T603" i="6"/>
  <c r="U603" i="6" s="1"/>
  <c r="M602" i="6"/>
  <c r="N602" i="6"/>
  <c r="T602" i="6"/>
  <c r="U602" i="6" s="1"/>
  <c r="M601" i="6"/>
  <c r="N601" i="6"/>
  <c r="T601" i="6"/>
  <c r="U601" i="6" s="1"/>
  <c r="N600" i="6"/>
  <c r="T600" i="6"/>
  <c r="U600" i="6" s="1"/>
  <c r="M600" i="6"/>
  <c r="M599" i="6"/>
  <c r="N599" i="6"/>
  <c r="T599" i="6"/>
  <c r="U599" i="6" s="1"/>
  <c r="M598" i="6"/>
  <c r="N598" i="6"/>
  <c r="T598" i="6"/>
  <c r="U598" i="6" s="1"/>
  <c r="N597" i="6"/>
  <c r="M597" i="6"/>
  <c r="T597" i="6"/>
  <c r="U597" i="6" s="1"/>
  <c r="M596" i="6"/>
  <c r="N596" i="6"/>
  <c r="T596" i="6"/>
  <c r="U596" i="6" s="1"/>
  <c r="M595" i="6"/>
  <c r="N595" i="6"/>
  <c r="T595" i="6"/>
  <c r="U595" i="6" s="1"/>
  <c r="M594" i="6"/>
  <c r="N594" i="6"/>
  <c r="T594" i="6"/>
  <c r="U594" i="6" s="1"/>
  <c r="M593" i="6"/>
  <c r="N593" i="6"/>
  <c r="T593" i="6"/>
  <c r="U593" i="6" s="1"/>
  <c r="M592" i="6"/>
  <c r="N592" i="6"/>
  <c r="T592" i="6"/>
  <c r="U592" i="6" s="1"/>
  <c r="N591" i="6"/>
  <c r="M591" i="6"/>
  <c r="T591" i="6"/>
  <c r="U591" i="6" s="1"/>
  <c r="M590" i="6"/>
  <c r="N590" i="6"/>
  <c r="T590" i="6"/>
  <c r="U590" i="6" s="1"/>
  <c r="M589" i="6"/>
  <c r="N589" i="6"/>
  <c r="T589" i="6"/>
  <c r="U589" i="6" s="1"/>
  <c r="M588" i="6"/>
  <c r="T588" i="6"/>
  <c r="U588" i="6" s="1"/>
  <c r="N588" i="6"/>
  <c r="T587" i="6"/>
  <c r="U587" i="6" s="1"/>
  <c r="M587" i="6"/>
  <c r="N587" i="6"/>
  <c r="M586" i="6"/>
  <c r="N586" i="6"/>
  <c r="T586" i="6"/>
  <c r="U586" i="6" s="1"/>
  <c r="M585" i="6"/>
  <c r="N585" i="6"/>
  <c r="T585" i="6"/>
  <c r="U585" i="6" s="1"/>
  <c r="M584" i="6"/>
  <c r="N584" i="6"/>
  <c r="T584" i="6"/>
  <c r="U584" i="6" s="1"/>
  <c r="T583" i="6"/>
  <c r="U583" i="6" s="1"/>
  <c r="M583" i="6"/>
  <c r="N583" i="6"/>
  <c r="M582" i="6"/>
  <c r="N582" i="6"/>
  <c r="T582" i="6"/>
  <c r="U582" i="6" s="1"/>
  <c r="T581" i="6"/>
  <c r="U581" i="6" s="1"/>
  <c r="M581" i="6"/>
  <c r="N581" i="6"/>
  <c r="M580" i="6"/>
  <c r="N580" i="6"/>
  <c r="T580" i="6"/>
  <c r="U580" i="6" s="1"/>
  <c r="T579" i="6"/>
  <c r="U579" i="6" s="1"/>
  <c r="M579" i="6"/>
  <c r="N579" i="6"/>
  <c r="M578" i="6"/>
  <c r="T578" i="6"/>
  <c r="U578" i="6" s="1"/>
  <c r="N578" i="6"/>
  <c r="T577" i="6"/>
  <c r="U577" i="6" s="1"/>
  <c r="M577" i="6"/>
  <c r="N577" i="6"/>
  <c r="N576" i="6"/>
  <c r="M576" i="6"/>
  <c r="T576" i="6"/>
  <c r="U576" i="6" s="1"/>
  <c r="N575" i="6"/>
  <c r="M575" i="6"/>
  <c r="T575" i="6"/>
  <c r="U575" i="6" s="1"/>
  <c r="T574" i="6"/>
  <c r="U574" i="6" s="1"/>
  <c r="M574" i="6"/>
  <c r="N574" i="6"/>
  <c r="N573" i="6"/>
  <c r="T573" i="6"/>
  <c r="U573" i="6" s="1"/>
  <c r="M573" i="6"/>
  <c r="N572" i="6"/>
  <c r="T572" i="6"/>
  <c r="U572" i="6" s="1"/>
  <c r="M572" i="6"/>
  <c r="N571" i="6"/>
  <c r="M571" i="6"/>
  <c r="T571" i="6"/>
  <c r="U571" i="6" s="1"/>
  <c r="T570" i="6"/>
  <c r="U570" i="6" s="1"/>
  <c r="M570" i="6"/>
  <c r="N570" i="6"/>
  <c r="N569" i="6"/>
  <c r="M569" i="6"/>
  <c r="T569" i="6"/>
  <c r="U569" i="6" s="1"/>
  <c r="N568" i="6"/>
  <c r="M568" i="6"/>
  <c r="T568" i="6"/>
  <c r="U568" i="6" s="1"/>
  <c r="N567" i="6"/>
  <c r="M567" i="6"/>
  <c r="T567" i="6"/>
  <c r="U567" i="6" s="1"/>
  <c r="N566" i="6"/>
  <c r="T566" i="6"/>
  <c r="U566" i="6" s="1"/>
  <c r="M566" i="6"/>
  <c r="T565" i="6"/>
  <c r="U565" i="6" s="1"/>
  <c r="M565" i="6"/>
  <c r="N565" i="6"/>
  <c r="N564" i="6"/>
  <c r="T564" i="6"/>
  <c r="U564" i="6" s="1"/>
  <c r="M564" i="6"/>
  <c r="M563" i="6"/>
  <c r="N563" i="6"/>
  <c r="T563" i="6"/>
  <c r="U563" i="6" s="1"/>
  <c r="M562" i="6"/>
  <c r="N562" i="6"/>
  <c r="T562" i="6"/>
  <c r="U562" i="6" s="1"/>
  <c r="M561" i="6"/>
  <c r="N561" i="6"/>
  <c r="T561" i="6"/>
  <c r="U561" i="6" s="1"/>
  <c r="N560" i="6"/>
  <c r="M560" i="6"/>
  <c r="T560" i="6"/>
  <c r="U560" i="6" s="1"/>
  <c r="M559" i="6"/>
  <c r="N559" i="6"/>
  <c r="T559" i="6"/>
  <c r="U559" i="6" s="1"/>
  <c r="M558" i="6"/>
  <c r="N558" i="6"/>
  <c r="T558" i="6"/>
  <c r="U558" i="6" s="1"/>
  <c r="M557" i="6"/>
  <c r="N557" i="6"/>
  <c r="T557" i="6"/>
  <c r="U557" i="6" s="1"/>
  <c r="M556" i="6"/>
  <c r="N556" i="6"/>
  <c r="T556" i="6"/>
  <c r="U556" i="6" s="1"/>
  <c r="M555" i="6"/>
  <c r="N555" i="6"/>
  <c r="T555" i="6"/>
  <c r="U555" i="6" s="1"/>
  <c r="M554" i="6"/>
  <c r="N554" i="6"/>
  <c r="T554" i="6"/>
  <c r="U554" i="6" s="1"/>
  <c r="M553" i="6"/>
  <c r="N553" i="6"/>
  <c r="T553" i="6"/>
  <c r="U553" i="6" s="1"/>
  <c r="M552" i="6"/>
  <c r="N552" i="6"/>
  <c r="T552" i="6"/>
  <c r="U552" i="6" s="1"/>
  <c r="M551" i="6"/>
  <c r="N551" i="6"/>
  <c r="T551" i="6"/>
  <c r="U551" i="6" s="1"/>
  <c r="M550" i="6"/>
  <c r="N550" i="6"/>
  <c r="T550" i="6"/>
  <c r="U550" i="6" s="1"/>
  <c r="M549" i="6"/>
  <c r="N549" i="6"/>
  <c r="T549" i="6"/>
  <c r="U549" i="6" s="1"/>
  <c r="M548" i="6"/>
  <c r="N548" i="6"/>
  <c r="T548" i="6"/>
  <c r="U548" i="6" s="1"/>
  <c r="M547" i="6"/>
  <c r="N547" i="6"/>
  <c r="T547" i="6"/>
  <c r="U547" i="6" s="1"/>
  <c r="M546" i="6"/>
  <c r="N546" i="6"/>
  <c r="T546" i="6"/>
  <c r="U546" i="6" s="1"/>
  <c r="M545" i="6"/>
  <c r="N545" i="6"/>
  <c r="T545" i="6"/>
  <c r="U545" i="6" s="1"/>
  <c r="M544" i="6"/>
  <c r="N544" i="6"/>
  <c r="T544" i="6"/>
  <c r="U544" i="6" s="1"/>
  <c r="M543" i="6"/>
  <c r="N543" i="6"/>
  <c r="T543" i="6"/>
  <c r="U543" i="6" s="1"/>
  <c r="M542" i="6"/>
  <c r="N542" i="6"/>
  <c r="T542" i="6"/>
  <c r="U542" i="6" s="1"/>
  <c r="M541" i="6"/>
  <c r="N541" i="6"/>
  <c r="T541" i="6"/>
  <c r="U541" i="6" s="1"/>
  <c r="M540" i="6"/>
  <c r="N540" i="6"/>
  <c r="T540" i="6"/>
  <c r="U540" i="6" s="1"/>
  <c r="M539" i="6"/>
  <c r="N539" i="6"/>
  <c r="T539" i="6"/>
  <c r="U539" i="6" s="1"/>
  <c r="M538" i="6"/>
  <c r="N538" i="6"/>
  <c r="T538" i="6"/>
  <c r="U538" i="6" s="1"/>
  <c r="M537" i="6"/>
  <c r="N537" i="6"/>
  <c r="T537" i="6"/>
  <c r="U537" i="6" s="1"/>
  <c r="M536" i="6"/>
  <c r="N536" i="6"/>
  <c r="T536" i="6"/>
  <c r="U536" i="6" s="1"/>
  <c r="M535" i="6"/>
  <c r="N535" i="6"/>
  <c r="T535" i="6"/>
  <c r="U535" i="6" s="1"/>
  <c r="M534" i="6"/>
  <c r="N534" i="6"/>
  <c r="T534" i="6"/>
  <c r="U534" i="6" s="1"/>
  <c r="M533" i="6"/>
  <c r="N533" i="6"/>
  <c r="T533" i="6"/>
  <c r="U533" i="6" s="1"/>
  <c r="M532" i="6"/>
  <c r="N532" i="6"/>
  <c r="T532" i="6"/>
  <c r="U532" i="6" s="1"/>
  <c r="M531" i="6"/>
  <c r="N531" i="6"/>
  <c r="T531" i="6"/>
  <c r="U531" i="6" s="1"/>
  <c r="M530" i="6"/>
  <c r="N530" i="6"/>
  <c r="T530" i="6"/>
  <c r="U530" i="6" s="1"/>
  <c r="M529" i="6"/>
  <c r="N529" i="6"/>
  <c r="T529" i="6"/>
  <c r="U529" i="6" s="1"/>
  <c r="M528" i="6"/>
  <c r="N528" i="6"/>
  <c r="T528" i="6"/>
  <c r="U528" i="6" s="1"/>
  <c r="M527" i="6"/>
  <c r="N527" i="6"/>
  <c r="T527" i="6"/>
  <c r="U527" i="6" s="1"/>
  <c r="M526" i="6"/>
  <c r="N526" i="6"/>
  <c r="T526" i="6"/>
  <c r="U526" i="6" s="1"/>
  <c r="M525" i="6"/>
  <c r="N525" i="6"/>
  <c r="T525" i="6"/>
  <c r="U525" i="6" s="1"/>
  <c r="M524" i="6"/>
  <c r="N524" i="6"/>
  <c r="T524" i="6"/>
  <c r="U524" i="6" s="1"/>
  <c r="M523" i="6"/>
  <c r="N523" i="6"/>
  <c r="T523" i="6"/>
  <c r="U523" i="6" s="1"/>
  <c r="M522" i="6"/>
  <c r="N522" i="6"/>
  <c r="T522" i="6"/>
  <c r="U522" i="6" s="1"/>
  <c r="M521" i="6"/>
  <c r="N521" i="6"/>
  <c r="T521" i="6"/>
  <c r="U521" i="6" s="1"/>
  <c r="M520" i="6"/>
  <c r="N520" i="6"/>
  <c r="T520" i="6"/>
  <c r="U520" i="6" s="1"/>
  <c r="M519" i="6"/>
  <c r="N519" i="6"/>
  <c r="T519" i="6"/>
  <c r="U519" i="6" s="1"/>
  <c r="M518" i="6"/>
  <c r="N518" i="6"/>
  <c r="T518" i="6"/>
  <c r="U518" i="6" s="1"/>
  <c r="M517" i="6"/>
  <c r="N517" i="6"/>
  <c r="T517" i="6"/>
  <c r="U517" i="6" s="1"/>
  <c r="M516" i="6"/>
  <c r="N516" i="6"/>
  <c r="T516" i="6"/>
  <c r="U516" i="6" s="1"/>
  <c r="M515" i="6"/>
  <c r="N515" i="6"/>
  <c r="T515" i="6"/>
  <c r="U515" i="6" s="1"/>
  <c r="M514" i="6"/>
  <c r="N514" i="6"/>
  <c r="T514" i="6"/>
  <c r="U514" i="6" s="1"/>
  <c r="M513" i="6"/>
  <c r="N513" i="6"/>
  <c r="T513" i="6"/>
  <c r="U513" i="6" s="1"/>
  <c r="M512" i="6"/>
  <c r="N512" i="6"/>
  <c r="T512" i="6"/>
  <c r="U512" i="6" s="1"/>
  <c r="M511" i="6"/>
  <c r="N511" i="6"/>
  <c r="T511" i="6"/>
  <c r="U511" i="6" s="1"/>
  <c r="M510" i="6"/>
  <c r="N510" i="6"/>
  <c r="T510" i="6"/>
  <c r="U510" i="6" s="1"/>
  <c r="M509" i="6"/>
  <c r="N509" i="6"/>
  <c r="T509" i="6"/>
  <c r="U509" i="6" s="1"/>
  <c r="M508" i="6"/>
  <c r="N508" i="6"/>
  <c r="T508" i="6"/>
  <c r="U508" i="6" s="1"/>
  <c r="M507" i="6"/>
  <c r="N507" i="6"/>
  <c r="T507" i="6"/>
  <c r="U507" i="6" s="1"/>
  <c r="M506" i="6"/>
  <c r="N506" i="6"/>
  <c r="T506" i="6"/>
  <c r="U506" i="6" s="1"/>
  <c r="M505" i="6"/>
  <c r="N505" i="6"/>
  <c r="T505" i="6"/>
  <c r="U505" i="6" s="1"/>
  <c r="M504" i="6"/>
  <c r="N504" i="6"/>
  <c r="T504" i="6"/>
  <c r="U504" i="6" s="1"/>
  <c r="M503" i="6"/>
  <c r="N503" i="6"/>
  <c r="T503" i="6"/>
  <c r="U503" i="6" s="1"/>
  <c r="M502" i="6"/>
  <c r="N502" i="6"/>
  <c r="T502" i="6"/>
  <c r="U502" i="6" s="1"/>
  <c r="M501" i="6"/>
  <c r="N501" i="6"/>
  <c r="T501" i="6"/>
  <c r="U501" i="6" s="1"/>
  <c r="M500" i="6"/>
  <c r="N500" i="6"/>
  <c r="T500" i="6"/>
  <c r="U500" i="6" s="1"/>
  <c r="M499" i="6"/>
  <c r="N499" i="6"/>
  <c r="T499" i="6"/>
  <c r="U499" i="6" s="1"/>
  <c r="M498" i="6"/>
  <c r="N498" i="6"/>
  <c r="T498" i="6"/>
  <c r="U498" i="6" s="1"/>
  <c r="M497" i="6"/>
  <c r="N497" i="6"/>
  <c r="T497" i="6"/>
  <c r="U497" i="6" s="1"/>
  <c r="M496" i="6"/>
  <c r="N496" i="6"/>
  <c r="T496" i="6"/>
  <c r="U496" i="6" s="1"/>
  <c r="M495" i="6"/>
  <c r="N495" i="6"/>
  <c r="T495" i="6"/>
  <c r="U495" i="6" s="1"/>
  <c r="M494" i="6"/>
  <c r="N494" i="6"/>
  <c r="T494" i="6"/>
  <c r="U494" i="6" s="1"/>
  <c r="M493" i="6"/>
  <c r="N493" i="6"/>
  <c r="T493" i="6"/>
  <c r="U493" i="6" s="1"/>
  <c r="M492" i="6"/>
  <c r="N492" i="6"/>
  <c r="T492" i="6"/>
  <c r="U492" i="6" s="1"/>
  <c r="M491" i="6"/>
  <c r="N491" i="6"/>
  <c r="T491" i="6"/>
  <c r="U491" i="6" s="1"/>
  <c r="M490" i="6"/>
  <c r="N490" i="6"/>
  <c r="T490" i="6"/>
  <c r="U490" i="6" s="1"/>
  <c r="M489" i="6"/>
  <c r="N489" i="6"/>
  <c r="T489" i="6"/>
  <c r="U489" i="6" s="1"/>
  <c r="M488" i="6"/>
  <c r="N488" i="6"/>
  <c r="T488" i="6"/>
  <c r="U488" i="6" s="1"/>
  <c r="M487" i="6"/>
  <c r="N487" i="6"/>
  <c r="T487" i="6"/>
  <c r="U487" i="6" s="1"/>
  <c r="M486" i="6"/>
  <c r="N486" i="6"/>
  <c r="T486" i="6"/>
  <c r="U486" i="6" s="1"/>
  <c r="M485" i="6"/>
  <c r="N485" i="6"/>
  <c r="T485" i="6"/>
  <c r="U485" i="6" s="1"/>
  <c r="M484" i="6"/>
  <c r="N484" i="6"/>
  <c r="T484" i="6"/>
  <c r="U484" i="6" s="1"/>
  <c r="M483" i="6"/>
  <c r="N483" i="6"/>
  <c r="T483" i="6"/>
  <c r="U483" i="6" s="1"/>
  <c r="M482" i="6"/>
  <c r="N482" i="6"/>
  <c r="T482" i="6"/>
  <c r="U482" i="6" s="1"/>
  <c r="M481" i="6"/>
  <c r="N481" i="6"/>
  <c r="T481" i="6"/>
  <c r="U481" i="6" s="1"/>
  <c r="M480" i="6"/>
  <c r="N480" i="6"/>
  <c r="T480" i="6"/>
  <c r="U480" i="6" s="1"/>
  <c r="M479" i="6"/>
  <c r="N479" i="6"/>
  <c r="T479" i="6"/>
  <c r="U479" i="6" s="1"/>
  <c r="M478" i="6"/>
  <c r="N478" i="6"/>
  <c r="T478" i="6"/>
  <c r="U478" i="6" s="1"/>
  <c r="M477" i="6"/>
  <c r="N477" i="6"/>
  <c r="T477" i="6"/>
  <c r="U477" i="6" s="1"/>
  <c r="M476" i="6"/>
  <c r="N476" i="6"/>
  <c r="T476" i="6"/>
  <c r="U476" i="6" s="1"/>
  <c r="M475" i="6"/>
  <c r="N475" i="6"/>
  <c r="T475" i="6"/>
  <c r="U475" i="6" s="1"/>
  <c r="M474" i="6"/>
  <c r="N474" i="6"/>
  <c r="T474" i="6"/>
  <c r="U474" i="6" s="1"/>
  <c r="M473" i="6"/>
  <c r="N473" i="6"/>
  <c r="T473" i="6"/>
  <c r="U473" i="6" s="1"/>
  <c r="M472" i="6"/>
  <c r="N472" i="6"/>
  <c r="T472" i="6"/>
  <c r="U472" i="6" s="1"/>
  <c r="N471" i="6"/>
  <c r="T471" i="6"/>
  <c r="U471" i="6" s="1"/>
  <c r="M471" i="6"/>
  <c r="M470" i="6"/>
  <c r="N470" i="6"/>
  <c r="T470" i="6"/>
  <c r="U470" i="6" s="1"/>
  <c r="T469" i="6"/>
  <c r="U469" i="6" s="1"/>
  <c r="M469" i="6"/>
  <c r="N469" i="6"/>
  <c r="N468" i="6"/>
  <c r="M468" i="6"/>
  <c r="T468" i="6"/>
  <c r="U468" i="6" s="1"/>
  <c r="N467" i="6"/>
  <c r="T467" i="6"/>
  <c r="U467" i="6" s="1"/>
  <c r="M467" i="6"/>
  <c r="N466" i="6"/>
  <c r="T466" i="6"/>
  <c r="U466" i="6" s="1"/>
  <c r="M466" i="6"/>
  <c r="M465" i="6"/>
  <c r="N465" i="6"/>
  <c r="T465" i="6"/>
  <c r="U465" i="6" s="1"/>
  <c r="M464" i="6"/>
  <c r="N464" i="6"/>
  <c r="T464" i="6"/>
  <c r="U464" i="6" s="1"/>
  <c r="N463" i="6"/>
  <c r="M463" i="6"/>
  <c r="T463" i="6"/>
  <c r="U463" i="6" s="1"/>
  <c r="T462" i="6"/>
  <c r="U462" i="6" s="1"/>
  <c r="M462" i="6"/>
  <c r="N462" i="6"/>
  <c r="N461" i="6"/>
  <c r="M461" i="6"/>
  <c r="T461" i="6"/>
  <c r="U461" i="6" s="1"/>
  <c r="N460" i="6"/>
  <c r="T460" i="6"/>
  <c r="U460" i="6" s="1"/>
  <c r="M460" i="6"/>
  <c r="N459" i="6"/>
  <c r="M459" i="6"/>
  <c r="T459" i="6"/>
  <c r="U459" i="6" s="1"/>
  <c r="M458" i="6"/>
  <c r="N458" i="6"/>
  <c r="T458" i="6"/>
  <c r="U458" i="6" s="1"/>
  <c r="N457" i="6"/>
  <c r="M457" i="6"/>
  <c r="T457" i="6"/>
  <c r="U457" i="6" s="1"/>
  <c r="M456" i="6"/>
  <c r="N456" i="6"/>
  <c r="T456" i="6"/>
  <c r="U456" i="6" s="1"/>
  <c r="M455" i="6"/>
  <c r="N455" i="6"/>
  <c r="T455" i="6"/>
  <c r="U455" i="6" s="1"/>
  <c r="M454" i="6"/>
  <c r="T454" i="6"/>
  <c r="U454" i="6" s="1"/>
  <c r="N454" i="6"/>
  <c r="N453" i="6"/>
  <c r="M453" i="6"/>
  <c r="T453" i="6"/>
  <c r="U453" i="6" s="1"/>
  <c r="T452" i="6"/>
  <c r="U452" i="6" s="1"/>
  <c r="M452" i="6"/>
  <c r="N452" i="6"/>
  <c r="T451" i="6"/>
  <c r="U451" i="6" s="1"/>
  <c r="M451" i="6"/>
  <c r="N451" i="6"/>
  <c r="M450" i="6"/>
  <c r="N450" i="6"/>
  <c r="T450" i="6"/>
  <c r="U450" i="6" s="1"/>
  <c r="M449" i="6"/>
  <c r="N449" i="6"/>
  <c r="T449" i="6"/>
  <c r="U449" i="6" s="1"/>
  <c r="N448" i="6"/>
  <c r="M448" i="6"/>
  <c r="T448" i="6"/>
  <c r="U448" i="6" s="1"/>
  <c r="T447" i="6"/>
  <c r="U447" i="6" s="1"/>
  <c r="M447" i="6"/>
  <c r="N447" i="6"/>
  <c r="N446" i="6"/>
  <c r="M446" i="6"/>
  <c r="T446" i="6"/>
  <c r="U446" i="6" s="1"/>
  <c r="M445" i="6"/>
  <c r="N445" i="6"/>
  <c r="T445" i="6"/>
  <c r="U445" i="6" s="1"/>
  <c r="M444" i="6"/>
  <c r="N444" i="6"/>
  <c r="T444" i="6"/>
  <c r="U444" i="6" s="1"/>
  <c r="N443" i="6"/>
  <c r="M443" i="6"/>
  <c r="T443" i="6"/>
  <c r="U443" i="6" s="1"/>
  <c r="M442" i="6"/>
  <c r="N442" i="6"/>
  <c r="T442" i="6"/>
  <c r="U442" i="6" s="1"/>
  <c r="M441" i="6"/>
  <c r="N441" i="6"/>
  <c r="T441" i="6"/>
  <c r="U441" i="6" s="1"/>
  <c r="T440" i="6"/>
  <c r="U440" i="6" s="1"/>
  <c r="M440" i="6"/>
  <c r="N440" i="6"/>
  <c r="M439" i="6"/>
  <c r="N439" i="6"/>
  <c r="T439" i="6"/>
  <c r="U439" i="6" s="1"/>
  <c r="N438" i="6"/>
  <c r="M438" i="6"/>
  <c r="T438" i="6"/>
  <c r="U438" i="6" s="1"/>
  <c r="M437" i="6"/>
  <c r="N437" i="6"/>
  <c r="T437" i="6"/>
  <c r="U437" i="6" s="1"/>
  <c r="M436" i="6"/>
  <c r="N436" i="6"/>
  <c r="T436" i="6"/>
  <c r="U436" i="6" s="1"/>
  <c r="M435" i="6"/>
  <c r="N435" i="6"/>
  <c r="T435" i="6"/>
  <c r="U435" i="6" s="1"/>
  <c r="N434" i="6"/>
  <c r="M434" i="6"/>
  <c r="T434" i="6"/>
  <c r="U434" i="6" s="1"/>
  <c r="M433" i="6"/>
  <c r="N433" i="6"/>
  <c r="T433" i="6"/>
  <c r="U433" i="6" s="1"/>
  <c r="M432" i="6"/>
  <c r="N432" i="6"/>
  <c r="T432" i="6"/>
  <c r="U432" i="6" s="1"/>
  <c r="M431" i="6"/>
  <c r="N431" i="6"/>
  <c r="T431" i="6"/>
  <c r="U431" i="6" s="1"/>
  <c r="M430" i="6"/>
  <c r="N430" i="6"/>
  <c r="T430" i="6"/>
  <c r="U430" i="6" s="1"/>
  <c r="N429" i="6"/>
  <c r="T429" i="6"/>
  <c r="U429" i="6" s="1"/>
  <c r="M429" i="6"/>
  <c r="N428" i="6"/>
  <c r="M428" i="6"/>
  <c r="T428" i="6"/>
  <c r="U428" i="6" s="1"/>
  <c r="N427" i="6"/>
  <c r="T427" i="6"/>
  <c r="U427" i="6" s="1"/>
  <c r="M427" i="6"/>
  <c r="N426" i="6"/>
  <c r="M426" i="6"/>
  <c r="T426" i="6"/>
  <c r="U426" i="6" s="1"/>
  <c r="T425" i="6"/>
  <c r="U425" i="6" s="1"/>
  <c r="M425" i="6"/>
  <c r="N425" i="6"/>
  <c r="N424" i="6"/>
  <c r="T424" i="6"/>
  <c r="U424" i="6" s="1"/>
  <c r="M424" i="6"/>
  <c r="M423" i="6"/>
  <c r="N423" i="6"/>
  <c r="T423" i="6"/>
  <c r="U423" i="6" s="1"/>
  <c r="M422" i="6"/>
  <c r="T422" i="6"/>
  <c r="U422" i="6" s="1"/>
  <c r="N422" i="6"/>
  <c r="T421" i="6"/>
  <c r="U421" i="6" s="1"/>
  <c r="M421" i="6"/>
  <c r="N421" i="6"/>
  <c r="N420" i="6"/>
  <c r="T420" i="6"/>
  <c r="U420" i="6" s="1"/>
  <c r="M420" i="6"/>
  <c r="T419" i="6"/>
  <c r="U419" i="6" s="1"/>
  <c r="M419" i="6"/>
  <c r="N419" i="6"/>
  <c r="N418" i="6"/>
  <c r="T418" i="6"/>
  <c r="U418" i="6" s="1"/>
  <c r="M418" i="6"/>
  <c r="M417" i="6"/>
  <c r="N417" i="6"/>
  <c r="T417" i="6"/>
  <c r="U417" i="6" s="1"/>
  <c r="N416" i="6"/>
  <c r="M416" i="6"/>
  <c r="T416" i="6"/>
  <c r="U416" i="6" s="1"/>
  <c r="N415" i="6"/>
  <c r="M415" i="6"/>
  <c r="T415" i="6"/>
  <c r="U415" i="6" s="1"/>
  <c r="M414" i="6"/>
  <c r="N414" i="6"/>
  <c r="T414" i="6"/>
  <c r="U414" i="6" s="1"/>
  <c r="M413" i="6"/>
  <c r="N413" i="6"/>
  <c r="T413" i="6"/>
  <c r="U413" i="6" s="1"/>
  <c r="M412" i="6"/>
  <c r="N412" i="6"/>
  <c r="T412" i="6"/>
  <c r="U412" i="6" s="1"/>
  <c r="N411" i="6"/>
  <c r="T411" i="6"/>
  <c r="U411" i="6" s="1"/>
  <c r="M411" i="6"/>
  <c r="T410" i="6"/>
  <c r="U410" i="6" s="1"/>
  <c r="M410" i="6"/>
  <c r="N410" i="6"/>
  <c r="M409" i="6"/>
  <c r="N409" i="6"/>
  <c r="T409" i="6"/>
  <c r="U409" i="6" s="1"/>
  <c r="T408" i="6"/>
  <c r="U408" i="6" s="1"/>
  <c r="M408" i="6"/>
  <c r="N408" i="6"/>
  <c r="N407" i="6"/>
  <c r="M407" i="6"/>
  <c r="T407" i="6"/>
  <c r="U407" i="6" s="1"/>
  <c r="T406" i="6"/>
  <c r="U406" i="6" s="1"/>
  <c r="M406" i="6"/>
  <c r="N406" i="6"/>
  <c r="N405" i="6"/>
  <c r="T405" i="6"/>
  <c r="U405" i="6" s="1"/>
  <c r="M405" i="6"/>
  <c r="T404" i="6"/>
  <c r="U404" i="6" s="1"/>
  <c r="N404" i="6"/>
  <c r="M404" i="6"/>
  <c r="M403" i="6"/>
  <c r="N403" i="6"/>
  <c r="T403" i="6"/>
  <c r="U403" i="6" s="1"/>
  <c r="M402" i="6"/>
  <c r="N402" i="6"/>
  <c r="T402" i="6"/>
  <c r="U402" i="6" s="1"/>
  <c r="M401" i="6"/>
  <c r="N401" i="6"/>
  <c r="T401" i="6"/>
  <c r="U401" i="6" s="1"/>
  <c r="M400" i="6"/>
  <c r="N400" i="6"/>
  <c r="T400" i="6"/>
  <c r="U400" i="6" s="1"/>
  <c r="M399" i="6"/>
  <c r="N399" i="6"/>
  <c r="T399" i="6"/>
  <c r="U399" i="6" s="1"/>
  <c r="M398" i="6"/>
  <c r="N398" i="6"/>
  <c r="T398" i="6"/>
  <c r="U398" i="6" s="1"/>
  <c r="M397" i="6"/>
  <c r="N397" i="6"/>
  <c r="T397" i="6"/>
  <c r="U397" i="6" s="1"/>
  <c r="M396" i="6"/>
  <c r="N396" i="6"/>
  <c r="T396" i="6"/>
  <c r="U396" i="6" s="1"/>
  <c r="M395" i="6"/>
  <c r="N395" i="6"/>
  <c r="T395" i="6"/>
  <c r="U395" i="6" s="1"/>
  <c r="M394" i="6"/>
  <c r="N394" i="6"/>
  <c r="T394" i="6"/>
  <c r="U394" i="6" s="1"/>
  <c r="M393" i="6"/>
  <c r="N393" i="6"/>
  <c r="T393" i="6"/>
  <c r="U393" i="6" s="1"/>
  <c r="M392" i="6"/>
  <c r="N392" i="6"/>
  <c r="T392" i="6"/>
  <c r="U392" i="6" s="1"/>
  <c r="M391" i="6"/>
  <c r="N391" i="6"/>
  <c r="T391" i="6"/>
  <c r="U391" i="6" s="1"/>
  <c r="M390" i="6"/>
  <c r="N390" i="6"/>
  <c r="T390" i="6"/>
  <c r="U390" i="6" s="1"/>
  <c r="M389" i="6"/>
  <c r="N389" i="6"/>
  <c r="T389" i="6"/>
  <c r="U389" i="6" s="1"/>
  <c r="M388" i="6"/>
  <c r="N388" i="6"/>
  <c r="T388" i="6"/>
  <c r="U388" i="6" s="1"/>
  <c r="M387" i="6"/>
  <c r="N387" i="6"/>
  <c r="T387" i="6"/>
  <c r="U387" i="6" s="1"/>
  <c r="M386" i="6"/>
  <c r="N386" i="6"/>
  <c r="T386" i="6"/>
  <c r="U386" i="6" s="1"/>
  <c r="M385" i="6"/>
  <c r="N385" i="6"/>
  <c r="T385" i="6"/>
  <c r="U385" i="6" s="1"/>
  <c r="M384" i="6"/>
  <c r="N384" i="6"/>
  <c r="T384" i="6"/>
  <c r="U384" i="6" s="1"/>
  <c r="M383" i="6"/>
  <c r="N383" i="6"/>
  <c r="T383" i="6"/>
  <c r="U383" i="6" s="1"/>
  <c r="M382" i="6"/>
  <c r="N382" i="6"/>
  <c r="T382" i="6"/>
  <c r="U382" i="6" s="1"/>
  <c r="M381" i="6"/>
  <c r="N381" i="6"/>
  <c r="T381" i="6"/>
  <c r="U381" i="6" s="1"/>
  <c r="M380" i="6"/>
  <c r="N380" i="6"/>
  <c r="T380" i="6"/>
  <c r="U380" i="6" s="1"/>
  <c r="M379" i="6"/>
  <c r="N379" i="6"/>
  <c r="T379" i="6"/>
  <c r="U379" i="6" s="1"/>
  <c r="M378" i="6"/>
  <c r="N378" i="6"/>
  <c r="T378" i="6"/>
  <c r="U378" i="6" s="1"/>
  <c r="M377" i="6"/>
  <c r="N377" i="6"/>
  <c r="T377" i="6"/>
  <c r="U377" i="6" s="1"/>
  <c r="M376" i="6"/>
  <c r="N376" i="6"/>
  <c r="T376" i="6"/>
  <c r="U376" i="6" s="1"/>
  <c r="M375" i="6"/>
  <c r="N375" i="6"/>
  <c r="T375" i="6"/>
  <c r="U375" i="6" s="1"/>
  <c r="M374" i="6"/>
  <c r="N374" i="6"/>
  <c r="T374" i="6"/>
  <c r="U374" i="6" s="1"/>
  <c r="M373" i="6"/>
  <c r="N373" i="6"/>
  <c r="T373" i="6"/>
  <c r="U373" i="6" s="1"/>
  <c r="M372" i="6"/>
  <c r="N372" i="6"/>
  <c r="T372" i="6"/>
  <c r="U372" i="6" s="1"/>
  <c r="M371" i="6"/>
  <c r="N371" i="6"/>
  <c r="T371" i="6"/>
  <c r="U371" i="6" s="1"/>
  <c r="M370" i="6"/>
  <c r="N370" i="6"/>
  <c r="T370" i="6"/>
  <c r="U370" i="6" s="1"/>
  <c r="M369" i="6"/>
  <c r="N369" i="6"/>
  <c r="T369" i="6"/>
  <c r="U369" i="6" s="1"/>
  <c r="M368" i="6"/>
  <c r="N368" i="6"/>
  <c r="T368" i="6"/>
  <c r="U368" i="6" s="1"/>
  <c r="M367" i="6"/>
  <c r="N367" i="6"/>
  <c r="T367" i="6"/>
  <c r="U367" i="6" s="1"/>
  <c r="M366" i="6"/>
  <c r="N366" i="6"/>
  <c r="T366" i="6"/>
  <c r="U366" i="6" s="1"/>
  <c r="M365" i="6"/>
  <c r="N365" i="6"/>
  <c r="T365" i="6"/>
  <c r="U365" i="6" s="1"/>
  <c r="M364" i="6"/>
  <c r="N364" i="6"/>
  <c r="T364" i="6"/>
  <c r="U364" i="6" s="1"/>
  <c r="M363" i="6"/>
  <c r="N363" i="6"/>
  <c r="T363" i="6"/>
  <c r="U363" i="6" s="1"/>
  <c r="M362" i="6"/>
  <c r="N362" i="6"/>
  <c r="T362" i="6"/>
  <c r="U362" i="6" s="1"/>
  <c r="M361" i="6"/>
  <c r="N361" i="6"/>
  <c r="T361" i="6"/>
  <c r="U361" i="6" s="1"/>
  <c r="M360" i="6"/>
  <c r="N360" i="6"/>
  <c r="T360" i="6"/>
  <c r="U360" i="6" s="1"/>
  <c r="M359" i="6"/>
  <c r="N359" i="6"/>
  <c r="T359" i="6"/>
  <c r="U359" i="6" s="1"/>
  <c r="M358" i="6"/>
  <c r="N358" i="6"/>
  <c r="T358" i="6"/>
  <c r="U358" i="6" s="1"/>
  <c r="M357" i="6"/>
  <c r="N357" i="6"/>
  <c r="T357" i="6"/>
  <c r="U357" i="6" s="1"/>
  <c r="M356" i="6"/>
  <c r="N356" i="6"/>
  <c r="T356" i="6"/>
  <c r="U356" i="6" s="1"/>
  <c r="M355" i="6"/>
  <c r="N355" i="6"/>
  <c r="T355" i="6"/>
  <c r="U355" i="6" s="1"/>
  <c r="M354" i="6"/>
  <c r="N354" i="6"/>
  <c r="T354" i="6"/>
  <c r="U354" i="6" s="1"/>
  <c r="M353" i="6"/>
  <c r="N353" i="6"/>
  <c r="T353" i="6"/>
  <c r="U353" i="6" s="1"/>
  <c r="M352" i="6"/>
  <c r="N352" i="6"/>
  <c r="T352" i="6"/>
  <c r="U352" i="6" s="1"/>
  <c r="M351" i="6"/>
  <c r="N351" i="6"/>
  <c r="T351" i="6"/>
  <c r="U351" i="6" s="1"/>
  <c r="M350" i="6"/>
  <c r="N350" i="6"/>
  <c r="T350" i="6"/>
  <c r="U350" i="6" s="1"/>
  <c r="M349" i="6"/>
  <c r="N349" i="6"/>
  <c r="T349" i="6"/>
  <c r="U349" i="6" s="1"/>
  <c r="M348" i="6"/>
  <c r="N348" i="6"/>
  <c r="T348" i="6"/>
  <c r="U348" i="6" s="1"/>
  <c r="M347" i="6"/>
  <c r="N347" i="6"/>
  <c r="T347" i="6"/>
  <c r="U347" i="6" s="1"/>
  <c r="M346" i="6"/>
  <c r="N346" i="6"/>
  <c r="T346" i="6"/>
  <c r="U346" i="6" s="1"/>
  <c r="M345" i="6"/>
  <c r="N345" i="6"/>
  <c r="T345" i="6"/>
  <c r="U345" i="6" s="1"/>
  <c r="M344" i="6"/>
  <c r="N344" i="6"/>
  <c r="T344" i="6"/>
  <c r="U344" i="6" s="1"/>
  <c r="M343" i="6"/>
  <c r="N343" i="6"/>
  <c r="T343" i="6"/>
  <c r="U343" i="6" s="1"/>
  <c r="M342" i="6"/>
  <c r="N342" i="6"/>
  <c r="T342" i="6"/>
  <c r="U342" i="6" s="1"/>
  <c r="M341" i="6"/>
  <c r="N341" i="6"/>
  <c r="T341" i="6"/>
  <c r="U341" i="6" s="1"/>
  <c r="M340" i="6"/>
  <c r="N340" i="6"/>
  <c r="T340" i="6"/>
  <c r="U340" i="6" s="1"/>
  <c r="M339" i="6"/>
  <c r="N339" i="6"/>
  <c r="T339" i="6"/>
  <c r="U339" i="6" s="1"/>
  <c r="M338" i="6"/>
  <c r="N338" i="6"/>
  <c r="T338" i="6"/>
  <c r="U338" i="6" s="1"/>
  <c r="M337" i="6"/>
  <c r="N337" i="6"/>
  <c r="T337" i="6"/>
  <c r="U337" i="6" s="1"/>
  <c r="M336" i="6"/>
  <c r="N336" i="6"/>
  <c r="T336" i="6"/>
  <c r="U336" i="6" s="1"/>
  <c r="M335" i="6"/>
  <c r="N335" i="6"/>
  <c r="T335" i="6"/>
  <c r="U335" i="6" s="1"/>
  <c r="M334" i="6"/>
  <c r="N334" i="6"/>
  <c r="T334" i="6"/>
  <c r="U334" i="6" s="1"/>
  <c r="M333" i="6"/>
  <c r="N333" i="6"/>
  <c r="T333" i="6"/>
  <c r="U333" i="6" s="1"/>
  <c r="M332" i="6"/>
  <c r="N332" i="6"/>
  <c r="T332" i="6"/>
  <c r="U332" i="6" s="1"/>
  <c r="M331" i="6"/>
  <c r="N331" i="6"/>
  <c r="T331" i="6"/>
  <c r="U331" i="6" s="1"/>
  <c r="M330" i="6"/>
  <c r="N330" i="6"/>
  <c r="T330" i="6"/>
  <c r="U330" i="6" s="1"/>
  <c r="M329" i="6"/>
  <c r="N329" i="6"/>
  <c r="T329" i="6"/>
  <c r="U329" i="6" s="1"/>
  <c r="M328" i="6"/>
  <c r="N328" i="6"/>
  <c r="T328" i="6"/>
  <c r="U328" i="6" s="1"/>
  <c r="M327" i="6"/>
  <c r="N327" i="6"/>
  <c r="T327" i="6"/>
  <c r="U327" i="6" s="1"/>
  <c r="M326" i="6"/>
  <c r="N326" i="6"/>
  <c r="T326" i="6"/>
  <c r="U326" i="6" s="1"/>
  <c r="M325" i="6"/>
  <c r="N325" i="6"/>
  <c r="T325" i="6"/>
  <c r="U325" i="6" s="1"/>
  <c r="M324" i="6"/>
  <c r="N324" i="6"/>
  <c r="T324" i="6"/>
  <c r="U324" i="6" s="1"/>
  <c r="M323" i="6"/>
  <c r="N323" i="6"/>
  <c r="T323" i="6"/>
  <c r="U323" i="6" s="1"/>
  <c r="M322" i="6"/>
  <c r="N322" i="6"/>
  <c r="T322" i="6"/>
  <c r="U322" i="6" s="1"/>
  <c r="M321" i="6"/>
  <c r="N321" i="6"/>
  <c r="T321" i="6"/>
  <c r="U321" i="6" s="1"/>
  <c r="M320" i="6"/>
  <c r="N320" i="6"/>
  <c r="T320" i="6"/>
  <c r="U320" i="6" s="1"/>
  <c r="M319" i="6"/>
  <c r="N319" i="6"/>
  <c r="T319" i="6"/>
  <c r="U319" i="6" s="1"/>
  <c r="M318" i="6"/>
  <c r="N318" i="6"/>
  <c r="T318" i="6"/>
  <c r="U318" i="6" s="1"/>
  <c r="M317" i="6"/>
  <c r="N317" i="6"/>
  <c r="T317" i="6"/>
  <c r="U317" i="6" s="1"/>
  <c r="M316" i="6"/>
  <c r="N316" i="6"/>
  <c r="T316" i="6"/>
  <c r="U316" i="6" s="1"/>
  <c r="M315" i="6"/>
  <c r="N315" i="6"/>
  <c r="T315" i="6"/>
  <c r="U315" i="6" s="1"/>
  <c r="M314" i="6"/>
  <c r="N314" i="6"/>
  <c r="T314" i="6"/>
  <c r="U314" i="6" s="1"/>
  <c r="M313" i="6"/>
  <c r="N313" i="6"/>
  <c r="T313" i="6"/>
  <c r="U313" i="6" s="1"/>
  <c r="M312" i="6"/>
  <c r="N312" i="6"/>
  <c r="T312" i="6"/>
  <c r="U312" i="6" s="1"/>
  <c r="M311" i="6"/>
  <c r="N311" i="6"/>
  <c r="T311" i="6"/>
  <c r="U311" i="6" s="1"/>
  <c r="M310" i="6"/>
  <c r="N310" i="6"/>
  <c r="T310" i="6"/>
  <c r="U310" i="6" s="1"/>
  <c r="M309" i="6"/>
  <c r="N309" i="6"/>
  <c r="T309" i="6"/>
  <c r="U309" i="6" s="1"/>
  <c r="M308" i="6"/>
  <c r="N308" i="6"/>
  <c r="T308" i="6"/>
  <c r="U308" i="6" s="1"/>
  <c r="M307" i="6"/>
  <c r="N307" i="6"/>
  <c r="T307" i="6"/>
  <c r="U307" i="6" s="1"/>
  <c r="M306" i="6"/>
  <c r="N306" i="6"/>
  <c r="T306" i="6"/>
  <c r="U306" i="6" s="1"/>
  <c r="M305" i="6"/>
  <c r="N305" i="6"/>
  <c r="T305" i="6"/>
  <c r="U305" i="6" s="1"/>
  <c r="M304" i="6"/>
  <c r="N304" i="6"/>
  <c r="T304" i="6"/>
  <c r="U304" i="6" s="1"/>
  <c r="M303" i="6"/>
  <c r="N303" i="6"/>
  <c r="T303" i="6"/>
  <c r="U303" i="6" s="1"/>
  <c r="M302" i="6"/>
  <c r="N302" i="6"/>
  <c r="T302" i="6"/>
  <c r="U302" i="6" s="1"/>
  <c r="M301" i="6"/>
  <c r="N301" i="6"/>
  <c r="T301" i="6"/>
  <c r="U301" i="6" s="1"/>
  <c r="M300" i="6"/>
  <c r="N300" i="6"/>
  <c r="T300" i="6"/>
  <c r="U300" i="6" s="1"/>
  <c r="M299" i="6"/>
  <c r="N299" i="6"/>
  <c r="T299" i="6"/>
  <c r="U299" i="6" s="1"/>
  <c r="M298" i="6"/>
  <c r="N298" i="6"/>
  <c r="T298" i="6"/>
  <c r="U298" i="6" s="1"/>
  <c r="M297" i="6"/>
  <c r="N297" i="6"/>
  <c r="T297" i="6"/>
  <c r="U297" i="6" s="1"/>
  <c r="M296" i="6"/>
  <c r="N296" i="6"/>
  <c r="T296" i="6"/>
  <c r="U296" i="6" s="1"/>
  <c r="M295" i="6"/>
  <c r="N295" i="6"/>
  <c r="T295" i="6"/>
  <c r="U295" i="6" s="1"/>
  <c r="M294" i="6"/>
  <c r="N294" i="6"/>
  <c r="T294" i="6"/>
  <c r="U294" i="6" s="1"/>
  <c r="M293" i="6"/>
  <c r="N293" i="6"/>
  <c r="T293" i="6"/>
  <c r="U293" i="6" s="1"/>
  <c r="M292" i="6"/>
  <c r="N292" i="6"/>
  <c r="T292" i="6"/>
  <c r="U292" i="6" s="1"/>
  <c r="M291" i="6"/>
  <c r="N291" i="6"/>
  <c r="T291" i="6"/>
  <c r="U291" i="6" s="1"/>
  <c r="M290" i="6"/>
  <c r="N290" i="6"/>
  <c r="T290" i="6"/>
  <c r="U290" i="6" s="1"/>
  <c r="M289" i="6"/>
  <c r="N289" i="6"/>
  <c r="T289" i="6"/>
  <c r="U289" i="6" s="1"/>
  <c r="M288" i="6"/>
  <c r="N288" i="6"/>
  <c r="T288" i="6"/>
  <c r="U288" i="6" s="1"/>
  <c r="M287" i="6"/>
  <c r="N287" i="6"/>
  <c r="T287" i="6"/>
  <c r="U287" i="6" s="1"/>
  <c r="M286" i="6"/>
  <c r="N286" i="6"/>
  <c r="T286" i="6"/>
  <c r="U286" i="6" s="1"/>
  <c r="M285" i="6"/>
  <c r="N285" i="6"/>
  <c r="T285" i="6"/>
  <c r="U285" i="6" s="1"/>
  <c r="M284" i="6"/>
  <c r="N284" i="6"/>
  <c r="T284" i="6"/>
  <c r="U284" i="6" s="1"/>
  <c r="M283" i="6"/>
  <c r="N283" i="6"/>
  <c r="T283" i="6"/>
  <c r="U283" i="6" s="1"/>
  <c r="M282" i="6"/>
  <c r="N282" i="6"/>
  <c r="T282" i="6"/>
  <c r="U282" i="6" s="1"/>
  <c r="M281" i="6"/>
  <c r="N281" i="6"/>
  <c r="T281" i="6"/>
  <c r="U281" i="6" s="1"/>
  <c r="M280" i="6"/>
  <c r="N280" i="6"/>
  <c r="T280" i="6"/>
  <c r="U280" i="6" s="1"/>
  <c r="M279" i="6"/>
  <c r="N279" i="6"/>
  <c r="T279" i="6"/>
  <c r="U279" i="6" s="1"/>
  <c r="M278" i="6"/>
  <c r="N278" i="6"/>
  <c r="T278" i="6"/>
  <c r="U278" i="6" s="1"/>
  <c r="M277" i="6"/>
  <c r="N277" i="6"/>
  <c r="T277" i="6"/>
  <c r="U277" i="6" s="1"/>
  <c r="M276" i="6"/>
  <c r="N276" i="6"/>
  <c r="T276" i="6"/>
  <c r="U276" i="6" s="1"/>
  <c r="M275" i="6"/>
  <c r="N275" i="6"/>
  <c r="T275" i="6"/>
  <c r="U275" i="6" s="1"/>
  <c r="M274" i="6"/>
  <c r="N274" i="6"/>
  <c r="T274" i="6"/>
  <c r="U274" i="6" s="1"/>
  <c r="M273" i="6"/>
  <c r="N273" i="6"/>
  <c r="T273" i="6"/>
  <c r="U273" i="6" s="1"/>
  <c r="M272" i="6"/>
  <c r="N272" i="6"/>
  <c r="T272" i="6"/>
  <c r="U272" i="6" s="1"/>
  <c r="M271" i="6"/>
  <c r="N271" i="6"/>
  <c r="T271" i="6"/>
  <c r="U271" i="6" s="1"/>
  <c r="M270" i="6"/>
  <c r="N270" i="6"/>
  <c r="T270" i="6"/>
  <c r="U270" i="6" s="1"/>
  <c r="M269" i="6"/>
  <c r="N269" i="6"/>
  <c r="T269" i="6"/>
  <c r="U269" i="6" s="1"/>
  <c r="M268" i="6"/>
  <c r="N268" i="6"/>
  <c r="T268" i="6"/>
  <c r="U268" i="6" s="1"/>
  <c r="M267" i="6"/>
  <c r="N267" i="6"/>
  <c r="T267" i="6"/>
  <c r="U267" i="6" s="1"/>
  <c r="M266" i="6"/>
  <c r="N266" i="6"/>
  <c r="T266" i="6"/>
  <c r="U266" i="6" s="1"/>
  <c r="M265" i="6"/>
  <c r="N265" i="6"/>
  <c r="T265" i="6"/>
  <c r="U265" i="6" s="1"/>
  <c r="M264" i="6"/>
  <c r="N264" i="6"/>
  <c r="T264" i="6"/>
  <c r="U264" i="6" s="1"/>
  <c r="M263" i="6"/>
  <c r="N263" i="6"/>
  <c r="T263" i="6"/>
  <c r="U263" i="6" s="1"/>
  <c r="M262" i="6"/>
  <c r="N262" i="6"/>
  <c r="T262" i="6"/>
  <c r="U262" i="6" s="1"/>
  <c r="M261" i="6"/>
  <c r="N261" i="6"/>
  <c r="T261" i="6"/>
  <c r="U261" i="6" s="1"/>
  <c r="M260" i="6"/>
  <c r="N260" i="6"/>
  <c r="T260" i="6"/>
  <c r="U260" i="6" s="1"/>
  <c r="M259" i="6"/>
  <c r="N259" i="6"/>
  <c r="T259" i="6"/>
  <c r="U259" i="6" s="1"/>
  <c r="M258" i="6"/>
  <c r="N258" i="6"/>
  <c r="T258" i="6"/>
  <c r="U258" i="6" s="1"/>
  <c r="M257" i="6"/>
  <c r="N257" i="6"/>
  <c r="T257" i="6"/>
  <c r="U257" i="6" s="1"/>
  <c r="M256" i="6"/>
  <c r="N256" i="6"/>
  <c r="T256" i="6"/>
  <c r="U256" i="6" s="1"/>
  <c r="M255" i="6"/>
  <c r="N255" i="6"/>
  <c r="T255" i="6"/>
  <c r="U255" i="6" s="1"/>
  <c r="M254" i="6"/>
  <c r="N254" i="6"/>
  <c r="T254" i="6"/>
  <c r="U254" i="6" s="1"/>
  <c r="M253" i="6"/>
  <c r="N253" i="6"/>
  <c r="T253" i="6"/>
  <c r="U253" i="6" s="1"/>
  <c r="M252" i="6"/>
  <c r="N252" i="6"/>
  <c r="T252" i="6"/>
  <c r="U252" i="6" s="1"/>
  <c r="M251" i="6"/>
  <c r="N251" i="6"/>
  <c r="T251" i="6"/>
  <c r="U251" i="6" s="1"/>
  <c r="M250" i="6"/>
  <c r="N250" i="6"/>
  <c r="T250" i="6"/>
  <c r="U250" i="6" s="1"/>
  <c r="M249" i="6"/>
  <c r="N249" i="6"/>
  <c r="T249" i="6"/>
  <c r="U249" i="6" s="1"/>
  <c r="M248" i="6"/>
  <c r="N248" i="6"/>
  <c r="T248" i="6"/>
  <c r="U248" i="6" s="1"/>
  <c r="M247" i="6"/>
  <c r="N247" i="6"/>
  <c r="T247" i="6"/>
  <c r="U247" i="6" s="1"/>
  <c r="M246" i="6"/>
  <c r="N246" i="6"/>
  <c r="T246" i="6"/>
  <c r="U246" i="6" s="1"/>
  <c r="M245" i="6"/>
  <c r="N245" i="6"/>
  <c r="T245" i="6"/>
  <c r="U245" i="6" s="1"/>
  <c r="M244" i="6"/>
  <c r="N244" i="6"/>
  <c r="T244" i="6"/>
  <c r="U244" i="6" s="1"/>
  <c r="M243" i="6"/>
  <c r="N243" i="6"/>
  <c r="T243" i="6"/>
  <c r="U243" i="6" s="1"/>
  <c r="M242" i="6"/>
  <c r="N242" i="6"/>
  <c r="T242" i="6"/>
  <c r="U242" i="6" s="1"/>
  <c r="M241" i="6"/>
  <c r="N241" i="6"/>
  <c r="T241" i="6"/>
  <c r="U241" i="6" s="1"/>
  <c r="M240" i="6"/>
  <c r="N240" i="6"/>
  <c r="T240" i="6"/>
  <c r="U240" i="6" s="1"/>
  <c r="M239" i="6"/>
  <c r="N239" i="6"/>
  <c r="T239" i="6"/>
  <c r="U239" i="6" s="1"/>
  <c r="M238" i="6"/>
  <c r="N238" i="6"/>
  <c r="T238" i="6"/>
  <c r="U238" i="6" s="1"/>
  <c r="M237" i="6"/>
  <c r="N237" i="6"/>
  <c r="T237" i="6"/>
  <c r="U237" i="6" s="1"/>
  <c r="M236" i="6"/>
  <c r="N236" i="6"/>
  <c r="T236" i="6"/>
  <c r="U236" i="6" s="1"/>
  <c r="M235" i="6"/>
  <c r="N235" i="6"/>
  <c r="T235" i="6"/>
  <c r="U235" i="6" s="1"/>
  <c r="M234" i="6"/>
  <c r="N234" i="6"/>
  <c r="T234" i="6"/>
  <c r="U234" i="6" s="1"/>
  <c r="M233" i="6"/>
  <c r="N233" i="6"/>
  <c r="T233" i="6"/>
  <c r="U233" i="6" s="1"/>
  <c r="M232" i="6"/>
  <c r="N232" i="6"/>
  <c r="T232" i="6"/>
  <c r="U232" i="6" s="1"/>
  <c r="M231" i="6"/>
  <c r="N231" i="6"/>
  <c r="T231" i="6"/>
  <c r="U231" i="6" s="1"/>
  <c r="M230" i="6"/>
  <c r="N230" i="6"/>
  <c r="T230" i="6"/>
  <c r="U230" i="6" s="1"/>
  <c r="M229" i="6"/>
  <c r="N229" i="6"/>
  <c r="T229" i="6"/>
  <c r="U229" i="6" s="1"/>
  <c r="M228" i="6"/>
  <c r="N228" i="6"/>
  <c r="T228" i="6"/>
  <c r="U228" i="6" s="1"/>
  <c r="M227" i="6"/>
  <c r="N227" i="6"/>
  <c r="T227" i="6"/>
  <c r="U227" i="6" s="1"/>
  <c r="M226" i="6"/>
  <c r="N226" i="6"/>
  <c r="T226" i="6"/>
  <c r="U226" i="6" s="1"/>
  <c r="M225" i="6"/>
  <c r="N225" i="6"/>
  <c r="T225" i="6"/>
  <c r="U225" i="6" s="1"/>
  <c r="M224" i="6"/>
  <c r="N224" i="6"/>
  <c r="T224" i="6"/>
  <c r="U224" i="6" s="1"/>
  <c r="M223" i="6"/>
  <c r="N223" i="6"/>
  <c r="T223" i="6"/>
  <c r="U223" i="6" s="1"/>
  <c r="M222" i="6"/>
  <c r="N222" i="6"/>
  <c r="T222" i="6"/>
  <c r="U222" i="6" s="1"/>
  <c r="M221" i="6"/>
  <c r="N221" i="6"/>
  <c r="T221" i="6"/>
  <c r="U221" i="6" s="1"/>
  <c r="M220" i="6"/>
  <c r="N220" i="6"/>
  <c r="T220" i="6"/>
  <c r="U220" i="6" s="1"/>
  <c r="M219" i="6"/>
  <c r="N219" i="6"/>
  <c r="T219" i="6"/>
  <c r="U219" i="6" s="1"/>
  <c r="M218" i="6"/>
  <c r="N218" i="6"/>
  <c r="T218" i="6"/>
  <c r="U218" i="6" s="1"/>
  <c r="M217" i="6"/>
  <c r="N217" i="6"/>
  <c r="T217" i="6"/>
  <c r="U217" i="6" s="1"/>
  <c r="M216" i="6"/>
  <c r="N216" i="6"/>
  <c r="T216" i="6"/>
  <c r="U216" i="6" s="1"/>
  <c r="M215" i="6"/>
  <c r="N215" i="6"/>
  <c r="T215" i="6"/>
  <c r="U215" i="6" s="1"/>
  <c r="M214" i="6"/>
  <c r="N214" i="6"/>
  <c r="T214" i="6"/>
  <c r="U214" i="6" s="1"/>
  <c r="M213" i="6"/>
  <c r="N213" i="6"/>
  <c r="T213" i="6"/>
  <c r="U213" i="6" s="1"/>
  <c r="M212" i="6"/>
  <c r="N212" i="6"/>
  <c r="T212" i="6"/>
  <c r="U212" i="6" s="1"/>
  <c r="M211" i="6"/>
  <c r="N211" i="6"/>
  <c r="T211" i="6"/>
  <c r="U211" i="6" s="1"/>
  <c r="M210" i="6"/>
  <c r="N210" i="6"/>
  <c r="T210" i="6"/>
  <c r="U210" i="6" s="1"/>
  <c r="M209" i="6"/>
  <c r="N209" i="6"/>
  <c r="T209" i="6"/>
  <c r="U209" i="6" s="1"/>
  <c r="M208" i="6"/>
  <c r="N208" i="6"/>
  <c r="T208" i="6"/>
  <c r="U208" i="6" s="1"/>
  <c r="M207" i="6"/>
  <c r="N207" i="6"/>
  <c r="T207" i="6"/>
  <c r="U207" i="6" s="1"/>
  <c r="M206" i="6"/>
  <c r="N206" i="6"/>
  <c r="T206" i="6"/>
  <c r="U206" i="6" s="1"/>
  <c r="M205" i="6"/>
  <c r="N205" i="6"/>
  <c r="T205" i="6"/>
  <c r="U205" i="6" s="1"/>
  <c r="M204" i="6"/>
  <c r="N204" i="6"/>
  <c r="T204" i="6"/>
  <c r="U204" i="6" s="1"/>
  <c r="M203" i="6"/>
  <c r="N203" i="6"/>
  <c r="T203" i="6"/>
  <c r="U203" i="6" s="1"/>
  <c r="M202" i="6"/>
  <c r="N202" i="6"/>
  <c r="T202" i="6"/>
  <c r="U202" i="6" s="1"/>
  <c r="M201" i="6"/>
  <c r="N201" i="6"/>
  <c r="T201" i="6"/>
  <c r="U201" i="6" s="1"/>
  <c r="M200" i="6"/>
  <c r="N200" i="6"/>
  <c r="T200" i="6"/>
  <c r="U200" i="6" s="1"/>
  <c r="M199" i="6"/>
  <c r="N199" i="6"/>
  <c r="T199" i="6"/>
  <c r="U199" i="6" s="1"/>
  <c r="M198" i="6"/>
  <c r="N198" i="6"/>
  <c r="T198" i="6"/>
  <c r="U198" i="6" s="1"/>
  <c r="M197" i="6"/>
  <c r="N197" i="6"/>
  <c r="T197" i="6"/>
  <c r="U197" i="6" s="1"/>
  <c r="M196" i="6"/>
  <c r="N196" i="6"/>
  <c r="T196" i="6"/>
  <c r="U196" i="6" s="1"/>
  <c r="M195" i="6"/>
  <c r="N195" i="6"/>
  <c r="T195" i="6"/>
  <c r="U195" i="6" s="1"/>
  <c r="M194" i="6"/>
  <c r="N194" i="6"/>
  <c r="T194" i="6"/>
  <c r="U194" i="6" s="1"/>
  <c r="M193" i="6"/>
  <c r="N193" i="6"/>
  <c r="T193" i="6"/>
  <c r="U193" i="6" s="1"/>
  <c r="M192" i="6"/>
  <c r="N192" i="6"/>
  <c r="T192" i="6"/>
  <c r="U192" i="6" s="1"/>
  <c r="M191" i="6"/>
  <c r="N191" i="6"/>
  <c r="T191" i="6"/>
  <c r="U191" i="6" s="1"/>
  <c r="M190" i="6"/>
  <c r="N190" i="6"/>
  <c r="T190" i="6"/>
  <c r="U190" i="6" s="1"/>
  <c r="M189" i="6"/>
  <c r="N189" i="6"/>
  <c r="T189" i="6"/>
  <c r="U189" i="6" s="1"/>
  <c r="M188" i="6"/>
  <c r="N188" i="6"/>
  <c r="T188" i="6"/>
  <c r="U188" i="6" s="1"/>
  <c r="M187" i="6"/>
  <c r="N187" i="6"/>
  <c r="T187" i="6"/>
  <c r="U187" i="6" s="1"/>
  <c r="M186" i="6"/>
  <c r="N186" i="6"/>
  <c r="T186" i="6"/>
  <c r="U186" i="6" s="1"/>
  <c r="M185" i="6"/>
  <c r="N185" i="6"/>
  <c r="T185" i="6"/>
  <c r="U185" i="6" s="1"/>
  <c r="M184" i="6"/>
  <c r="N184" i="6"/>
  <c r="T184" i="6"/>
  <c r="U184" i="6" s="1"/>
  <c r="M183" i="6"/>
  <c r="N183" i="6"/>
  <c r="T183" i="6"/>
  <c r="U183" i="6" s="1"/>
  <c r="M182" i="6"/>
  <c r="N182" i="6"/>
  <c r="T182" i="6"/>
  <c r="U182" i="6" s="1"/>
  <c r="M181" i="6"/>
  <c r="N181" i="6"/>
  <c r="T181" i="6"/>
  <c r="U181" i="6" s="1"/>
  <c r="M180" i="6"/>
  <c r="N180" i="6"/>
  <c r="T180" i="6"/>
  <c r="U180" i="6" s="1"/>
  <c r="M179" i="6"/>
  <c r="N179" i="6"/>
  <c r="T179" i="6"/>
  <c r="U179" i="6" s="1"/>
  <c r="M178" i="6"/>
  <c r="N178" i="6"/>
  <c r="T178" i="6"/>
  <c r="U178" i="6" s="1"/>
  <c r="M177" i="6"/>
  <c r="N177" i="6"/>
  <c r="T177" i="6"/>
  <c r="U177" i="6" s="1"/>
  <c r="M176" i="6"/>
  <c r="N176" i="6"/>
  <c r="T176" i="6"/>
  <c r="U176" i="6" s="1"/>
  <c r="M175" i="6"/>
  <c r="N175" i="6"/>
  <c r="T175" i="6"/>
  <c r="U175" i="6" s="1"/>
  <c r="M174" i="6"/>
  <c r="N174" i="6"/>
  <c r="T174" i="6"/>
  <c r="U174" i="6" s="1"/>
  <c r="M173" i="6"/>
  <c r="N173" i="6"/>
  <c r="T173" i="6"/>
  <c r="U173" i="6" s="1"/>
  <c r="M172" i="6"/>
  <c r="N172" i="6"/>
  <c r="T172" i="6"/>
  <c r="U172" i="6" s="1"/>
  <c r="M171" i="6"/>
  <c r="N171" i="6"/>
  <c r="T171" i="6"/>
  <c r="U171" i="6" s="1"/>
  <c r="M170" i="6"/>
  <c r="N170" i="6"/>
  <c r="T170" i="6"/>
  <c r="U170" i="6" s="1"/>
  <c r="M169" i="6"/>
  <c r="N169" i="6"/>
  <c r="T169" i="6"/>
  <c r="U169" i="6" s="1"/>
  <c r="M168" i="6"/>
  <c r="N168" i="6"/>
  <c r="T168" i="6"/>
  <c r="U168" i="6" s="1"/>
  <c r="M167" i="6"/>
  <c r="N167" i="6"/>
  <c r="T167" i="6"/>
  <c r="U167" i="6" s="1"/>
  <c r="M166" i="6"/>
  <c r="N166" i="6"/>
  <c r="T166" i="6"/>
  <c r="U166" i="6" s="1"/>
  <c r="M165" i="6"/>
  <c r="N165" i="6"/>
  <c r="T165" i="6"/>
  <c r="U165" i="6" s="1"/>
  <c r="M164" i="6"/>
  <c r="N164" i="6"/>
  <c r="T164" i="6"/>
  <c r="U164" i="6" s="1"/>
  <c r="M163" i="6"/>
  <c r="N163" i="6"/>
  <c r="T163" i="6"/>
  <c r="U163" i="6" s="1"/>
  <c r="M162" i="6"/>
  <c r="N162" i="6"/>
  <c r="T162" i="6"/>
  <c r="U162" i="6" s="1"/>
  <c r="M161" i="6"/>
  <c r="N161" i="6"/>
  <c r="T161" i="6"/>
  <c r="U161" i="6" s="1"/>
  <c r="M160" i="6"/>
  <c r="N160" i="6"/>
  <c r="T160" i="6"/>
  <c r="U160" i="6" s="1"/>
  <c r="M159" i="6"/>
  <c r="N159" i="6"/>
  <c r="T159" i="6"/>
  <c r="U159" i="6" s="1"/>
  <c r="M158" i="6"/>
  <c r="N158" i="6"/>
  <c r="T158" i="6"/>
  <c r="U158" i="6" s="1"/>
  <c r="M157" i="6"/>
  <c r="N157" i="6"/>
  <c r="T157" i="6"/>
  <c r="U157" i="6" s="1"/>
  <c r="M156" i="6"/>
  <c r="N156" i="6"/>
  <c r="T156" i="6"/>
  <c r="U156" i="6" s="1"/>
  <c r="M155" i="6"/>
  <c r="N155" i="6"/>
  <c r="T155" i="6"/>
  <c r="U155" i="6" s="1"/>
  <c r="M154" i="6"/>
  <c r="N154" i="6"/>
  <c r="T154" i="6"/>
  <c r="U154" i="6" s="1"/>
  <c r="M153" i="6"/>
  <c r="N153" i="6"/>
  <c r="T153" i="6"/>
  <c r="U153" i="6" s="1"/>
  <c r="M152" i="6"/>
  <c r="N152" i="6"/>
  <c r="T152" i="6"/>
  <c r="U152" i="6" s="1"/>
  <c r="M151" i="6"/>
  <c r="N151" i="6"/>
  <c r="T151" i="6"/>
  <c r="U151" i="6" s="1"/>
  <c r="M150" i="6"/>
  <c r="N150" i="6"/>
  <c r="T150" i="6"/>
  <c r="U150" i="6" s="1"/>
  <c r="M149" i="6"/>
  <c r="N149" i="6"/>
  <c r="T149" i="6"/>
  <c r="U149" i="6" s="1"/>
  <c r="M148" i="6"/>
  <c r="N148" i="6"/>
  <c r="T148" i="6"/>
  <c r="U148" i="6" s="1"/>
  <c r="M147" i="6"/>
  <c r="N147" i="6"/>
  <c r="T147" i="6"/>
  <c r="U147" i="6" s="1"/>
  <c r="M146" i="6"/>
  <c r="N146" i="6"/>
  <c r="T146" i="6"/>
  <c r="U146" i="6" s="1"/>
  <c r="M145" i="6"/>
  <c r="N145" i="6"/>
  <c r="T145" i="6"/>
  <c r="U145" i="6" s="1"/>
  <c r="M144" i="6"/>
  <c r="N144" i="6"/>
  <c r="T144" i="6"/>
  <c r="U144" i="6" s="1"/>
  <c r="M143" i="6"/>
  <c r="N143" i="6"/>
  <c r="T143" i="6"/>
  <c r="U143" i="6" s="1"/>
  <c r="M142" i="6"/>
  <c r="N142" i="6"/>
  <c r="T142" i="6"/>
  <c r="U142" i="6" s="1"/>
  <c r="M141" i="6"/>
  <c r="N141" i="6"/>
  <c r="T141" i="6"/>
  <c r="U141" i="6" s="1"/>
  <c r="M140" i="6"/>
  <c r="N140" i="6"/>
  <c r="T140" i="6"/>
  <c r="U140" i="6" s="1"/>
  <c r="M139" i="6"/>
  <c r="N139" i="6"/>
  <c r="T139" i="6"/>
  <c r="U139" i="6" s="1"/>
  <c r="M138" i="6"/>
  <c r="N138" i="6"/>
  <c r="T138" i="6"/>
  <c r="U138" i="6" s="1"/>
  <c r="M137" i="6"/>
  <c r="N137" i="6"/>
  <c r="T137" i="6"/>
  <c r="U137" i="6" s="1"/>
  <c r="M136" i="6"/>
  <c r="N136" i="6"/>
  <c r="T136" i="6"/>
  <c r="U136" i="6" s="1"/>
  <c r="M135" i="6"/>
  <c r="N135" i="6"/>
  <c r="T135" i="6"/>
  <c r="U135" i="6" s="1"/>
  <c r="M134" i="6"/>
  <c r="N134" i="6"/>
  <c r="T134" i="6"/>
  <c r="U134" i="6" s="1"/>
  <c r="M133" i="6"/>
  <c r="N133" i="6"/>
  <c r="T133" i="6"/>
  <c r="U133" i="6" s="1"/>
  <c r="M132" i="6"/>
  <c r="N132" i="6"/>
  <c r="T132" i="6"/>
  <c r="U132" i="6" s="1"/>
  <c r="M131" i="6"/>
  <c r="N131" i="6"/>
  <c r="T131" i="6"/>
  <c r="U131" i="6" s="1"/>
  <c r="M130" i="6"/>
  <c r="N130" i="6"/>
  <c r="T130" i="6"/>
  <c r="U130" i="6" s="1"/>
  <c r="M129" i="6"/>
  <c r="N129" i="6"/>
  <c r="T129" i="6"/>
  <c r="U129" i="6" s="1"/>
  <c r="M128" i="6"/>
  <c r="N128" i="6"/>
  <c r="T128" i="6"/>
  <c r="U128" i="6" s="1"/>
  <c r="M127" i="6"/>
  <c r="N127" i="6"/>
  <c r="T127" i="6"/>
  <c r="U127" i="6" s="1"/>
  <c r="M126" i="6"/>
  <c r="N126" i="6"/>
  <c r="T126" i="6"/>
  <c r="U126" i="6" s="1"/>
  <c r="M125" i="6"/>
  <c r="N125" i="6"/>
  <c r="T125" i="6"/>
  <c r="U125" i="6" s="1"/>
  <c r="M124" i="6"/>
  <c r="N124" i="6"/>
  <c r="T124" i="6"/>
  <c r="U124" i="6" s="1"/>
  <c r="M123" i="6"/>
  <c r="N123" i="6"/>
  <c r="T123" i="6"/>
  <c r="U123" i="6" s="1"/>
  <c r="M122" i="6"/>
  <c r="N122" i="6"/>
  <c r="T122" i="6"/>
  <c r="U122" i="6" s="1"/>
  <c r="M121" i="6"/>
  <c r="N121" i="6"/>
  <c r="T121" i="6"/>
  <c r="U121" i="6" s="1"/>
  <c r="M120" i="6"/>
  <c r="N120" i="6"/>
  <c r="T120" i="6"/>
  <c r="U120" i="6" s="1"/>
  <c r="M119" i="6"/>
  <c r="N119" i="6"/>
  <c r="T119" i="6"/>
  <c r="U119" i="6" s="1"/>
  <c r="M118" i="6"/>
  <c r="N118" i="6"/>
  <c r="T118" i="6"/>
  <c r="U118" i="6" s="1"/>
  <c r="M117" i="6"/>
  <c r="N117" i="6"/>
  <c r="T117" i="6"/>
  <c r="U117" i="6" s="1"/>
  <c r="M116" i="6"/>
  <c r="N116" i="6"/>
  <c r="T116" i="6"/>
  <c r="U116" i="6" s="1"/>
  <c r="M115" i="6"/>
  <c r="N115" i="6"/>
  <c r="T115" i="6"/>
  <c r="U115" i="6" s="1"/>
  <c r="M114" i="6"/>
  <c r="N114" i="6"/>
  <c r="T114" i="6"/>
  <c r="U114" i="6" s="1"/>
  <c r="M113" i="6"/>
  <c r="N113" i="6"/>
  <c r="T113" i="6"/>
  <c r="U113" i="6" s="1"/>
  <c r="M112" i="6"/>
  <c r="N112" i="6"/>
  <c r="T112" i="6"/>
  <c r="U112" i="6" s="1"/>
  <c r="M111" i="6"/>
  <c r="N111" i="6"/>
  <c r="T111" i="6"/>
  <c r="U111" i="6" s="1"/>
  <c r="M110" i="6"/>
  <c r="N110" i="6"/>
  <c r="T110" i="6"/>
  <c r="U110" i="6" s="1"/>
  <c r="M109" i="6"/>
  <c r="N109" i="6"/>
  <c r="T109" i="6"/>
  <c r="U109" i="6" s="1"/>
  <c r="M108" i="6"/>
  <c r="N108" i="6"/>
  <c r="T108" i="6"/>
  <c r="U108" i="6" s="1"/>
  <c r="M107" i="6"/>
  <c r="N107" i="6"/>
  <c r="T107" i="6"/>
  <c r="U107" i="6" s="1"/>
  <c r="M106" i="6"/>
  <c r="N106" i="6"/>
  <c r="T106" i="6"/>
  <c r="U106" i="6" s="1"/>
  <c r="M105" i="6"/>
  <c r="N105" i="6"/>
  <c r="T105" i="6"/>
  <c r="U105" i="6" s="1"/>
  <c r="M104" i="6"/>
  <c r="N104" i="6"/>
  <c r="T104" i="6"/>
  <c r="U104" i="6" s="1"/>
  <c r="M103" i="6"/>
  <c r="N103" i="6"/>
  <c r="T103" i="6"/>
  <c r="U103" i="6" s="1"/>
  <c r="M102" i="6"/>
  <c r="N102" i="6"/>
  <c r="T102" i="6"/>
  <c r="U102" i="6" s="1"/>
  <c r="M101" i="6"/>
  <c r="N101" i="6"/>
  <c r="T101" i="6"/>
  <c r="U101" i="6" s="1"/>
  <c r="M100" i="6"/>
  <c r="N100" i="6"/>
  <c r="T100" i="6"/>
  <c r="U100" i="6" s="1"/>
  <c r="M99" i="6"/>
  <c r="N99" i="6"/>
  <c r="T99" i="6"/>
  <c r="U99" i="6" s="1"/>
  <c r="M98" i="6"/>
  <c r="N98" i="6"/>
  <c r="T98" i="6"/>
  <c r="U98" i="6" s="1"/>
  <c r="M97" i="6"/>
  <c r="N97" i="6"/>
  <c r="T97" i="6"/>
  <c r="U97" i="6" s="1"/>
  <c r="M96" i="6"/>
  <c r="N96" i="6"/>
  <c r="T96" i="6"/>
  <c r="U96" i="6" s="1"/>
  <c r="M95" i="6"/>
  <c r="N95" i="6"/>
  <c r="T95" i="6"/>
  <c r="U95" i="6" s="1"/>
  <c r="M94" i="6"/>
  <c r="N94" i="6"/>
  <c r="T94" i="6"/>
  <c r="U94" i="6" s="1"/>
  <c r="M93" i="6"/>
  <c r="N93" i="6"/>
  <c r="T93" i="6"/>
  <c r="U93" i="6" s="1"/>
  <c r="M92" i="6"/>
  <c r="N92" i="6"/>
  <c r="T92" i="6"/>
  <c r="U92" i="6" s="1"/>
  <c r="M91" i="6"/>
  <c r="N91" i="6"/>
  <c r="T91" i="6"/>
  <c r="U91" i="6" s="1"/>
  <c r="M90" i="6"/>
  <c r="N90" i="6"/>
  <c r="T90" i="6"/>
  <c r="U90" i="6" s="1"/>
  <c r="M89" i="6"/>
  <c r="N89" i="6"/>
  <c r="T89" i="6"/>
  <c r="U89" i="6" s="1"/>
  <c r="M88" i="6"/>
  <c r="N88" i="6"/>
  <c r="T88" i="6"/>
  <c r="U88" i="6" s="1"/>
  <c r="M87" i="6"/>
  <c r="N87" i="6"/>
  <c r="T87" i="6"/>
  <c r="U87" i="6" s="1"/>
  <c r="M86" i="6"/>
  <c r="N86" i="6"/>
  <c r="T86" i="6"/>
  <c r="U86" i="6" s="1"/>
  <c r="M85" i="6"/>
  <c r="N85" i="6"/>
  <c r="T85" i="6"/>
  <c r="U85" i="6" s="1"/>
  <c r="M84" i="6"/>
  <c r="N84" i="6"/>
  <c r="T84" i="6"/>
  <c r="U84" i="6" s="1"/>
  <c r="M83" i="6"/>
  <c r="N83" i="6"/>
  <c r="T83" i="6"/>
  <c r="U83" i="6" s="1"/>
  <c r="M82" i="6"/>
  <c r="N82" i="6"/>
  <c r="T82" i="6"/>
  <c r="U82" i="6" s="1"/>
  <c r="M81" i="6"/>
  <c r="N81" i="6"/>
  <c r="T81" i="6"/>
  <c r="U81" i="6" s="1"/>
  <c r="M80" i="6"/>
  <c r="N80" i="6"/>
  <c r="T80" i="6"/>
  <c r="U80" i="6" s="1"/>
  <c r="M79" i="6"/>
  <c r="N79" i="6"/>
  <c r="T79" i="6"/>
  <c r="U79" i="6" s="1"/>
  <c r="M78" i="6"/>
  <c r="N78" i="6"/>
  <c r="T78" i="6"/>
  <c r="U78" i="6" s="1"/>
  <c r="M77" i="6"/>
  <c r="N77" i="6"/>
  <c r="T77" i="6"/>
  <c r="U77" i="6" s="1"/>
  <c r="M76" i="6"/>
  <c r="N76" i="6"/>
  <c r="T76" i="6"/>
  <c r="U76" i="6" s="1"/>
  <c r="M75" i="6"/>
  <c r="N75" i="6"/>
  <c r="T75" i="6"/>
  <c r="U75" i="6" s="1"/>
  <c r="M74" i="6"/>
  <c r="N74" i="6"/>
  <c r="T74" i="6"/>
  <c r="U74" i="6" s="1"/>
  <c r="M73" i="6"/>
  <c r="N73" i="6"/>
  <c r="T73" i="6"/>
  <c r="U73" i="6" s="1"/>
  <c r="M72" i="6"/>
  <c r="N72" i="6"/>
  <c r="T72" i="6"/>
  <c r="U72" i="6" s="1"/>
  <c r="M71" i="6"/>
  <c r="N71" i="6"/>
  <c r="T71" i="6"/>
  <c r="U71" i="6" s="1"/>
  <c r="M70" i="6"/>
  <c r="N70" i="6"/>
  <c r="T70" i="6"/>
  <c r="U70" i="6" s="1"/>
  <c r="M69" i="6"/>
  <c r="N69" i="6"/>
  <c r="T69" i="6"/>
  <c r="U69" i="6" s="1"/>
  <c r="M68" i="6"/>
  <c r="N68" i="6"/>
  <c r="T68" i="6"/>
  <c r="U68" i="6" s="1"/>
  <c r="M67" i="6"/>
  <c r="N67" i="6"/>
  <c r="T67" i="6"/>
  <c r="U67" i="6" s="1"/>
  <c r="M66" i="6"/>
  <c r="N66" i="6"/>
  <c r="T66" i="6"/>
  <c r="U66" i="6" s="1"/>
  <c r="M65" i="6"/>
  <c r="N65" i="6"/>
  <c r="T65" i="6"/>
  <c r="U65" i="6" s="1"/>
  <c r="M64" i="6"/>
  <c r="N64" i="6"/>
  <c r="T64" i="6"/>
  <c r="U64" i="6" s="1"/>
  <c r="M63" i="6"/>
  <c r="N63" i="6"/>
  <c r="T63" i="6"/>
  <c r="U63" i="6" s="1"/>
  <c r="M62" i="6"/>
  <c r="N62" i="6"/>
  <c r="T62" i="6"/>
  <c r="U62" i="6" s="1"/>
  <c r="M61" i="6"/>
  <c r="N61" i="6"/>
  <c r="T61" i="6"/>
  <c r="U61" i="6" s="1"/>
  <c r="M60" i="6"/>
  <c r="N60" i="6"/>
  <c r="T60" i="6"/>
  <c r="U60" i="6" s="1"/>
  <c r="M59" i="6"/>
  <c r="N59" i="6"/>
  <c r="T59" i="6"/>
  <c r="U59" i="6" s="1"/>
  <c r="M58" i="6"/>
  <c r="N58" i="6"/>
  <c r="T58" i="6"/>
  <c r="U58" i="6" s="1"/>
  <c r="M57" i="6"/>
  <c r="N57" i="6"/>
  <c r="T57" i="6"/>
  <c r="U57" i="6" s="1"/>
  <c r="M56" i="6"/>
  <c r="N56" i="6"/>
  <c r="T56" i="6"/>
  <c r="U56" i="6" s="1"/>
  <c r="M55" i="6"/>
  <c r="N55" i="6"/>
  <c r="T55" i="6"/>
  <c r="U55" i="6" s="1"/>
  <c r="M54" i="6"/>
  <c r="N54" i="6"/>
  <c r="T54" i="6"/>
  <c r="U54" i="6" s="1"/>
  <c r="M53" i="6"/>
  <c r="N53" i="6"/>
  <c r="T53" i="6"/>
  <c r="U53" i="6" s="1"/>
  <c r="M52" i="6"/>
  <c r="N52" i="6"/>
  <c r="T52" i="6"/>
  <c r="U52" i="6" s="1"/>
  <c r="M51" i="6"/>
  <c r="N51" i="6"/>
  <c r="T51" i="6"/>
  <c r="U51" i="6" s="1"/>
  <c r="M50" i="6"/>
  <c r="N50" i="6"/>
  <c r="T50" i="6"/>
  <c r="U50" i="6" s="1"/>
  <c r="M49" i="6"/>
  <c r="N49" i="6"/>
  <c r="T49" i="6"/>
  <c r="U49" i="6" s="1"/>
  <c r="M48" i="6"/>
  <c r="N48" i="6"/>
  <c r="T48" i="6"/>
  <c r="U48" i="6" s="1"/>
  <c r="M47" i="6"/>
  <c r="N47" i="6"/>
  <c r="T47" i="6"/>
  <c r="U47" i="6" s="1"/>
  <c r="N46" i="6"/>
  <c r="M46" i="6"/>
  <c r="T46" i="6"/>
  <c r="U46" i="6" s="1"/>
  <c r="M45" i="6"/>
  <c r="N45" i="6"/>
  <c r="T45" i="6"/>
  <c r="U45" i="6" s="1"/>
  <c r="M44" i="6"/>
  <c r="N44" i="6"/>
  <c r="T44" i="6"/>
  <c r="U44" i="6" s="1"/>
  <c r="M43" i="6"/>
  <c r="N43" i="6"/>
  <c r="T43" i="6"/>
  <c r="U43" i="6" s="1"/>
  <c r="T42" i="6"/>
  <c r="U42" i="6" s="1"/>
  <c r="M42" i="6"/>
  <c r="N42" i="6"/>
  <c r="T41" i="6"/>
  <c r="U41" i="6" s="1"/>
  <c r="M41" i="6"/>
  <c r="N41" i="6"/>
  <c r="N40" i="6"/>
  <c r="T40" i="6"/>
  <c r="U40" i="6" s="1"/>
  <c r="M40" i="6"/>
  <c r="N39" i="6"/>
  <c r="M39" i="6"/>
  <c r="T39" i="6"/>
  <c r="U39" i="6" s="1"/>
  <c r="N38" i="6"/>
  <c r="T38" i="6"/>
  <c r="U38" i="6" s="1"/>
  <c r="M38" i="6"/>
  <c r="N37" i="6"/>
  <c r="M37" i="6"/>
  <c r="T37" i="6"/>
  <c r="U37" i="6" s="1"/>
  <c r="M36" i="6"/>
  <c r="N36" i="6"/>
  <c r="T36" i="6"/>
  <c r="U36" i="6" s="1"/>
  <c r="N35" i="6"/>
  <c r="M35" i="6"/>
  <c r="T35" i="6"/>
  <c r="U35" i="6" s="1"/>
  <c r="N34" i="6"/>
  <c r="M34" i="6"/>
  <c r="T34" i="6"/>
  <c r="U34" i="6" s="1"/>
  <c r="N33" i="6"/>
  <c r="M33" i="6"/>
  <c r="T33" i="6"/>
  <c r="U33" i="6" s="1"/>
  <c r="N32" i="6"/>
  <c r="M32" i="6"/>
  <c r="T32" i="6"/>
  <c r="U32" i="6" s="1"/>
  <c r="N31" i="6"/>
  <c r="M31" i="6"/>
  <c r="T31" i="6"/>
  <c r="U31" i="6" s="1"/>
  <c r="N30" i="6"/>
  <c r="M30" i="6"/>
  <c r="T30" i="6"/>
  <c r="U30" i="6" s="1"/>
  <c r="N29" i="6"/>
  <c r="M29" i="6"/>
  <c r="T29" i="6"/>
  <c r="U29" i="6" s="1"/>
  <c r="M28" i="6"/>
  <c r="N28" i="6"/>
  <c r="T28" i="6"/>
  <c r="U28" i="6" s="1"/>
  <c r="N27" i="6"/>
  <c r="M27" i="6"/>
  <c r="T27" i="6"/>
  <c r="U27" i="6" s="1"/>
  <c r="T26" i="6"/>
  <c r="U26" i="6" s="1"/>
  <c r="M26" i="6"/>
  <c r="N26" i="6"/>
  <c r="M25" i="6"/>
  <c r="N25" i="6"/>
  <c r="T25" i="6"/>
  <c r="U25" i="6" s="1"/>
  <c r="T24" i="6"/>
  <c r="U24" i="6" s="1"/>
  <c r="M24" i="6"/>
  <c r="N24" i="6"/>
  <c r="N23" i="6"/>
  <c r="M23" i="6"/>
  <c r="T23" i="6"/>
  <c r="U23" i="6" s="1"/>
  <c r="M22" i="6"/>
  <c r="N22" i="6"/>
  <c r="T22" i="6"/>
  <c r="U22" i="6" s="1"/>
  <c r="T21" i="6"/>
  <c r="U21" i="6" s="1"/>
  <c r="M21" i="6"/>
  <c r="N21" i="6"/>
  <c r="M20" i="6"/>
  <c r="N20" i="6"/>
  <c r="T20" i="6"/>
  <c r="U20" i="6" s="1"/>
  <c r="M19" i="6"/>
  <c r="N19" i="6"/>
  <c r="T19" i="6"/>
  <c r="U19" i="6" s="1"/>
  <c r="T18" i="6"/>
  <c r="U18" i="6" s="1"/>
  <c r="M18" i="6"/>
  <c r="N18" i="6"/>
  <c r="M17" i="6"/>
  <c r="N17" i="6"/>
  <c r="T17" i="6"/>
  <c r="U17" i="6" s="1"/>
  <c r="M16" i="6"/>
  <c r="N16" i="6"/>
  <c r="T16" i="6"/>
  <c r="U16" i="6" s="1"/>
  <c r="M15" i="6"/>
  <c r="T15" i="6"/>
  <c r="U15" i="6" s="1"/>
  <c r="N15" i="6"/>
  <c r="M14" i="6"/>
  <c r="N14" i="6"/>
  <c r="T14" i="6"/>
  <c r="U14" i="6" s="1"/>
  <c r="M13" i="6"/>
  <c r="N13" i="6"/>
  <c r="T13" i="6"/>
  <c r="U13" i="6" s="1"/>
  <c r="N12" i="6"/>
  <c r="M12" i="6"/>
  <c r="T12" i="6"/>
  <c r="U12" i="6" s="1"/>
  <c r="T11" i="6"/>
  <c r="U11" i="6" s="1"/>
  <c r="M11" i="6"/>
  <c r="N11" i="6"/>
  <c r="T10" i="6"/>
  <c r="U10" i="6" s="1"/>
  <c r="M10" i="6"/>
  <c r="N10" i="6"/>
  <c r="N9" i="6"/>
  <c r="M9" i="6"/>
  <c r="T9" i="6"/>
  <c r="U9" i="6" s="1"/>
  <c r="N8" i="6"/>
  <c r="T8" i="6"/>
  <c r="U8" i="6" s="1"/>
  <c r="M8" i="6"/>
  <c r="N7" i="6"/>
  <c r="M7" i="6"/>
  <c r="T7" i="6"/>
  <c r="U7" i="6" s="1"/>
  <c r="C17" i="13"/>
  <c r="C18" i="13"/>
  <c r="C19" i="13"/>
  <c r="C46" i="13"/>
  <c r="C47" i="13"/>
  <c r="C48" i="13"/>
  <c r="K6" i="6"/>
  <c r="E260" i="9"/>
  <c r="C43" i="13" s="1"/>
  <c r="D260" i="9"/>
  <c r="P25" i="14"/>
  <c r="D263" i="9"/>
  <c r="C45" i="13" s="1"/>
  <c r="D262" i="9"/>
  <c r="C44" i="13" s="1"/>
  <c r="G260" i="9"/>
  <c r="E116" i="8"/>
  <c r="F135" i="14" l="1"/>
  <c r="J135" i="14" s="1"/>
  <c r="L135" i="14" s="1"/>
  <c r="F35" i="12"/>
  <c r="F47" i="12" s="1"/>
  <c r="C47" i="12"/>
  <c r="T6" i="6"/>
  <c r="U6" i="6" s="1"/>
  <c r="M6" i="6"/>
  <c r="N6" i="6"/>
  <c r="F7" i="12"/>
  <c r="F8" i="12"/>
  <c r="F9" i="12"/>
  <c r="I9" i="12"/>
  <c r="F10" i="12"/>
  <c r="F11" i="12"/>
  <c r="F12" i="12"/>
  <c r="I12" i="12"/>
  <c r="F13" i="12"/>
  <c r="I29" i="12"/>
  <c r="C15" i="13"/>
  <c r="C16" i="13"/>
  <c r="C22" i="13"/>
  <c r="C23" i="13"/>
  <c r="C24" i="13"/>
  <c r="C25" i="13"/>
  <c r="C26" i="13"/>
  <c r="C12" i="12"/>
  <c r="C13" i="12" s="1"/>
  <c r="C42" i="13"/>
  <c r="M70" i="14"/>
  <c r="M128" i="14" s="1"/>
  <c r="M130" i="14" s="1"/>
  <c r="O70" i="14"/>
  <c r="O128" i="14" s="1"/>
  <c r="O130" i="14" s="1"/>
  <c r="J70" i="14"/>
  <c r="J128" i="14" s="1"/>
  <c r="J130" i="14" s="1"/>
  <c r="K70" i="14"/>
  <c r="K128" i="14" s="1"/>
  <c r="K130" i="14" s="1"/>
  <c r="H70" i="14"/>
  <c r="H128" i="14" s="1"/>
  <c r="H130" i="14" s="1"/>
  <c r="L70" i="14"/>
  <c r="L128" i="14" s="1"/>
  <c r="D70" i="14"/>
  <c r="D128" i="14" s="1"/>
  <c r="D130" i="14" s="1"/>
  <c r="P70" i="14"/>
  <c r="P128" i="14" s="1"/>
  <c r="N70" i="14"/>
  <c r="N128" i="14" s="1"/>
  <c r="N130" i="14" s="1"/>
  <c r="F70" i="14"/>
  <c r="F128" i="14" s="1"/>
  <c r="F130" i="14" s="1"/>
  <c r="F39" i="12"/>
  <c r="L26" i="14"/>
  <c r="F38" i="12"/>
  <c r="F41" i="12"/>
  <c r="F46" i="12"/>
  <c r="F43" i="12"/>
  <c r="F36" i="12"/>
  <c r="F40" i="12"/>
  <c r="F37" i="12"/>
  <c r="V7" i="6" l="1"/>
  <c r="V8" i="6"/>
  <c r="V9" i="6"/>
  <c r="V10" i="6"/>
  <c r="V11" i="6"/>
  <c r="V13" i="6"/>
  <c r="V14" i="6"/>
  <c r="V15" i="6"/>
  <c r="V17" i="6"/>
  <c r="V21" i="6"/>
  <c r="V23" i="6"/>
  <c r="V24" i="6"/>
  <c r="V26" i="6"/>
  <c r="V29" i="6"/>
  <c r="V31" i="6"/>
  <c r="V32" i="6"/>
  <c r="V34" i="6"/>
  <c r="V36" i="6"/>
  <c r="V37" i="6"/>
  <c r="V38" i="6"/>
  <c r="V39" i="6"/>
  <c r="V41" i="6"/>
  <c r="V43" i="6"/>
  <c r="V45" i="6"/>
  <c r="V47" i="6"/>
  <c r="V48" i="6"/>
  <c r="V49" i="6"/>
  <c r="V50" i="6"/>
  <c r="V51" i="6"/>
  <c r="V52" i="6"/>
  <c r="V53" i="6"/>
  <c r="V54" i="6"/>
  <c r="V55" i="6"/>
  <c r="V56" i="6"/>
  <c r="V57" i="6"/>
  <c r="V58" i="6"/>
  <c r="V59" i="6"/>
  <c r="V60" i="6"/>
  <c r="V61" i="6"/>
  <c r="V62" i="6"/>
  <c r="V63" i="6"/>
  <c r="V64" i="6"/>
  <c r="V65" i="6"/>
  <c r="V66" i="6"/>
  <c r="V67" i="6"/>
  <c r="V68" i="6"/>
  <c r="V69" i="6"/>
  <c r="V70" i="6"/>
  <c r="V71" i="6"/>
  <c r="V72" i="6"/>
  <c r="V73" i="6"/>
  <c r="V74" i="6"/>
  <c r="V75" i="6"/>
  <c r="V76" i="6"/>
  <c r="V77" i="6"/>
  <c r="V78" i="6"/>
  <c r="V79" i="6"/>
  <c r="V80" i="6"/>
  <c r="V81" i="6"/>
  <c r="V82" i="6"/>
  <c r="V83" i="6"/>
  <c r="V84" i="6"/>
  <c r="V85" i="6"/>
  <c r="V86" i="6"/>
  <c r="V87" i="6"/>
  <c r="V88" i="6"/>
  <c r="V89" i="6"/>
  <c r="V90" i="6"/>
  <c r="V91" i="6"/>
  <c r="V6" i="6"/>
  <c r="V12" i="6"/>
  <c r="V16" i="6"/>
  <c r="V18" i="6"/>
  <c r="V19" i="6"/>
  <c r="V20" i="6"/>
  <c r="V22" i="6"/>
  <c r="V25" i="6"/>
  <c r="V27" i="6"/>
  <c r="V28" i="6"/>
  <c r="V30" i="6"/>
  <c r="V33" i="6"/>
  <c r="V35" i="6"/>
  <c r="V40" i="6"/>
  <c r="V42" i="6"/>
  <c r="V44" i="6"/>
  <c r="V46" i="6"/>
  <c r="V92" i="6"/>
  <c r="V93" i="6"/>
  <c r="V94" i="6"/>
  <c r="V95" i="6"/>
  <c r="V96" i="6"/>
  <c r="V97" i="6"/>
  <c r="V98" i="6"/>
  <c r="V99" i="6"/>
  <c r="V100" i="6"/>
  <c r="V101" i="6"/>
  <c r="V102" i="6"/>
  <c r="V103" i="6"/>
  <c r="V104" i="6"/>
  <c r="V105" i="6"/>
  <c r="V106" i="6"/>
  <c r="V107" i="6"/>
  <c r="V108" i="6"/>
  <c r="V109" i="6"/>
  <c r="V110" i="6"/>
  <c r="V111" i="6"/>
  <c r="V112" i="6"/>
  <c r="V113" i="6"/>
  <c r="V114" i="6"/>
  <c r="V115" i="6"/>
  <c r="V116" i="6"/>
  <c r="V117" i="6"/>
  <c r="V118" i="6"/>
  <c r="V119" i="6"/>
  <c r="V120" i="6"/>
  <c r="V121" i="6"/>
  <c r="V122" i="6"/>
  <c r="V123" i="6"/>
  <c r="V124" i="6"/>
  <c r="V125" i="6"/>
  <c r="V126" i="6"/>
  <c r="V127" i="6"/>
  <c r="V128" i="6"/>
  <c r="V129" i="6"/>
  <c r="V130" i="6"/>
  <c r="V131" i="6"/>
  <c r="V132" i="6"/>
  <c r="V133" i="6"/>
  <c r="V134" i="6"/>
  <c r="V135" i="6"/>
  <c r="V136" i="6"/>
  <c r="V137" i="6"/>
  <c r="V138" i="6"/>
  <c r="V139" i="6"/>
  <c r="V140" i="6"/>
  <c r="V141" i="6"/>
  <c r="V142" i="6"/>
  <c r="V143" i="6"/>
  <c r="V144" i="6"/>
  <c r="V145" i="6"/>
  <c r="V146" i="6"/>
  <c r="V147" i="6"/>
  <c r="V148" i="6"/>
  <c r="V149" i="6"/>
  <c r="V150" i="6"/>
  <c r="V151" i="6"/>
  <c r="V152" i="6"/>
  <c r="V153" i="6"/>
  <c r="V154" i="6"/>
  <c r="V155" i="6"/>
  <c r="V156" i="6"/>
  <c r="V157" i="6"/>
  <c r="V158" i="6"/>
  <c r="V159" i="6"/>
  <c r="V160" i="6"/>
  <c r="V161" i="6"/>
  <c r="V162" i="6"/>
  <c r="V163" i="6"/>
  <c r="V164" i="6"/>
  <c r="V165" i="6"/>
  <c r="V166" i="6"/>
  <c r="V167" i="6"/>
  <c r="V168" i="6"/>
  <c r="V169" i="6"/>
  <c r="V170" i="6"/>
  <c r="V171" i="6"/>
  <c r="V172" i="6"/>
  <c r="V173" i="6"/>
  <c r="V174" i="6"/>
  <c r="V175" i="6"/>
  <c r="V176" i="6"/>
  <c r="V177" i="6"/>
  <c r="V178" i="6"/>
  <c r="V179" i="6"/>
  <c r="V180" i="6"/>
  <c r="V181" i="6"/>
  <c r="V182" i="6"/>
  <c r="V183" i="6"/>
  <c r="V184" i="6"/>
  <c r="V185" i="6"/>
  <c r="V186" i="6"/>
  <c r="V187" i="6"/>
  <c r="V188" i="6"/>
  <c r="V189" i="6"/>
  <c r="V190" i="6"/>
  <c r="V191" i="6"/>
  <c r="V192" i="6"/>
  <c r="V193" i="6"/>
  <c r="V194" i="6"/>
  <c r="V195" i="6"/>
  <c r="V196" i="6"/>
  <c r="V197" i="6"/>
  <c r="V198" i="6"/>
  <c r="V199" i="6"/>
  <c r="V200" i="6"/>
  <c r="V201" i="6"/>
  <c r="V202" i="6"/>
  <c r="V203" i="6"/>
  <c r="V204" i="6"/>
  <c r="V205" i="6"/>
  <c r="V206" i="6"/>
  <c r="V207" i="6"/>
  <c r="V208" i="6"/>
  <c r="V209" i="6"/>
  <c r="V210" i="6"/>
  <c r="V211" i="6"/>
  <c r="V212" i="6"/>
  <c r="V213" i="6"/>
  <c r="V214" i="6"/>
  <c r="V215" i="6"/>
  <c r="V216" i="6"/>
  <c r="V217" i="6"/>
  <c r="V218" i="6"/>
  <c r="V219" i="6"/>
  <c r="V220" i="6"/>
  <c r="V221" i="6"/>
  <c r="V222" i="6"/>
  <c r="V223" i="6"/>
  <c r="V224" i="6"/>
  <c r="V225" i="6"/>
  <c r="V226" i="6"/>
  <c r="V227" i="6"/>
  <c r="V228" i="6"/>
  <c r="V229" i="6"/>
  <c r="V230" i="6"/>
  <c r="V231" i="6"/>
  <c r="V232" i="6"/>
  <c r="V233" i="6"/>
  <c r="V234" i="6"/>
  <c r="V235" i="6"/>
  <c r="V236" i="6"/>
  <c r="V237" i="6"/>
  <c r="V238" i="6"/>
  <c r="V239" i="6"/>
  <c r="V240" i="6"/>
  <c r="V241" i="6"/>
  <c r="V242" i="6"/>
  <c r="V243" i="6"/>
  <c r="V244" i="6"/>
  <c r="V245" i="6"/>
  <c r="V246" i="6"/>
  <c r="V247" i="6"/>
  <c r="V248" i="6"/>
  <c r="V249" i="6"/>
  <c r="V250" i="6"/>
  <c r="V251" i="6"/>
  <c r="V252" i="6"/>
  <c r="V253" i="6"/>
  <c r="V254" i="6"/>
  <c r="V255" i="6"/>
  <c r="V256" i="6"/>
  <c r="V257" i="6"/>
  <c r="V258" i="6"/>
  <c r="V259" i="6"/>
  <c r="V260" i="6"/>
  <c r="V261" i="6"/>
  <c r="V262" i="6"/>
  <c r="V263" i="6"/>
  <c r="V264" i="6"/>
  <c r="V265" i="6"/>
  <c r="V266" i="6"/>
  <c r="V267" i="6"/>
  <c r="V268" i="6"/>
  <c r="V269" i="6"/>
  <c r="V270" i="6"/>
  <c r="V271" i="6"/>
  <c r="V272" i="6"/>
  <c r="V273" i="6"/>
  <c r="V274" i="6"/>
  <c r="V275" i="6"/>
  <c r="V276" i="6"/>
  <c r="V277" i="6"/>
  <c r="V278" i="6"/>
  <c r="V279" i="6"/>
  <c r="V280" i="6"/>
  <c r="V281" i="6"/>
  <c r="V282" i="6"/>
  <c r="V283" i="6"/>
  <c r="V284" i="6"/>
  <c r="V285" i="6"/>
  <c r="V286" i="6"/>
  <c r="V287" i="6"/>
  <c r="V288" i="6"/>
  <c r="V289" i="6"/>
  <c r="V290" i="6"/>
  <c r="V291" i="6"/>
  <c r="V292" i="6"/>
  <c r="V293" i="6"/>
  <c r="V294" i="6"/>
  <c r="V295" i="6"/>
  <c r="V296" i="6"/>
  <c r="V297" i="6"/>
  <c r="V298" i="6"/>
  <c r="V299" i="6"/>
  <c r="V300" i="6"/>
  <c r="V301" i="6"/>
  <c r="V302" i="6"/>
  <c r="V303" i="6"/>
  <c r="V304" i="6"/>
  <c r="V305" i="6"/>
  <c r="V306" i="6"/>
  <c r="V307" i="6"/>
  <c r="V308" i="6"/>
  <c r="V309" i="6"/>
  <c r="V310" i="6"/>
  <c r="V311" i="6"/>
  <c r="V312" i="6"/>
  <c r="V313" i="6"/>
  <c r="V314" i="6"/>
  <c r="V315" i="6"/>
  <c r="V316" i="6"/>
  <c r="V317" i="6"/>
  <c r="V318" i="6"/>
  <c r="V319" i="6"/>
  <c r="V320" i="6"/>
  <c r="V321" i="6"/>
  <c r="V322" i="6"/>
  <c r="V323" i="6"/>
  <c r="V324" i="6"/>
  <c r="V325" i="6"/>
  <c r="V326" i="6"/>
  <c r="V327" i="6"/>
  <c r="V328" i="6"/>
  <c r="V329" i="6"/>
  <c r="V330" i="6"/>
  <c r="V331" i="6"/>
  <c r="V332" i="6"/>
  <c r="V333" i="6"/>
  <c r="V334" i="6"/>
  <c r="V335" i="6"/>
  <c r="V336" i="6"/>
  <c r="V337" i="6"/>
  <c r="V338" i="6"/>
  <c r="V339" i="6"/>
  <c r="V340" i="6"/>
  <c r="V341" i="6"/>
  <c r="V342" i="6"/>
  <c r="V343" i="6"/>
  <c r="V344" i="6"/>
  <c r="V345" i="6"/>
  <c r="V346" i="6"/>
  <c r="V347" i="6"/>
  <c r="V348" i="6"/>
  <c r="V349" i="6"/>
  <c r="V350" i="6"/>
  <c r="V351" i="6"/>
  <c r="V352" i="6"/>
  <c r="V353" i="6"/>
  <c r="V354" i="6"/>
  <c r="V355" i="6"/>
  <c r="V356" i="6"/>
  <c r="V357" i="6"/>
  <c r="V358" i="6"/>
  <c r="V359" i="6"/>
  <c r="V360" i="6"/>
  <c r="V361" i="6"/>
  <c r="V362" i="6"/>
  <c r="V363" i="6"/>
  <c r="V364" i="6"/>
  <c r="V365" i="6"/>
  <c r="V366" i="6"/>
  <c r="V367" i="6"/>
  <c r="V368" i="6"/>
  <c r="V369" i="6"/>
  <c r="V370" i="6"/>
  <c r="V371" i="6"/>
  <c r="V372" i="6"/>
  <c r="V373" i="6"/>
  <c r="V374" i="6"/>
  <c r="V375" i="6"/>
  <c r="V376" i="6"/>
  <c r="V377" i="6"/>
  <c r="V378" i="6"/>
  <c r="V379" i="6"/>
  <c r="V380" i="6"/>
  <c r="V381" i="6"/>
  <c r="V382" i="6"/>
  <c r="V383" i="6"/>
  <c r="V384" i="6"/>
  <c r="V385" i="6"/>
  <c r="V386" i="6"/>
  <c r="V387" i="6"/>
  <c r="V388" i="6"/>
  <c r="V389" i="6"/>
  <c r="V390" i="6"/>
  <c r="V391" i="6"/>
  <c r="V392" i="6"/>
  <c r="V393" i="6"/>
  <c r="V394" i="6"/>
  <c r="V395" i="6"/>
  <c r="V396" i="6"/>
  <c r="V397" i="6"/>
  <c r="V398" i="6"/>
  <c r="V399" i="6"/>
  <c r="V400" i="6"/>
  <c r="V401" i="6"/>
  <c r="V402" i="6"/>
  <c r="V403" i="6"/>
  <c r="V473" i="6"/>
  <c r="V474" i="6"/>
  <c r="V475" i="6"/>
  <c r="V476" i="6"/>
  <c r="V477" i="6"/>
  <c r="V478" i="6"/>
  <c r="V479" i="6"/>
  <c r="V480" i="6"/>
  <c r="V481" i="6"/>
  <c r="V482" i="6"/>
  <c r="V483" i="6"/>
  <c r="V484" i="6"/>
  <c r="V485" i="6"/>
  <c r="V486" i="6"/>
  <c r="V487" i="6"/>
  <c r="V488" i="6"/>
  <c r="V489" i="6"/>
  <c r="V490" i="6"/>
  <c r="V491" i="6"/>
  <c r="V492" i="6"/>
  <c r="V493" i="6"/>
  <c r="V494" i="6"/>
  <c r="V495" i="6"/>
  <c r="V496" i="6"/>
  <c r="V497" i="6"/>
  <c r="V498" i="6"/>
  <c r="V499" i="6"/>
  <c r="V500" i="6"/>
  <c r="V501" i="6"/>
  <c r="V502" i="6"/>
  <c r="V503" i="6"/>
  <c r="V504" i="6"/>
  <c r="V505" i="6"/>
  <c r="V506" i="6"/>
  <c r="V507" i="6"/>
  <c r="V508" i="6"/>
  <c r="V509" i="6"/>
  <c r="V510" i="6"/>
  <c r="V511" i="6"/>
  <c r="V512" i="6"/>
  <c r="V513" i="6"/>
  <c r="V514" i="6"/>
  <c r="V515" i="6"/>
  <c r="V516" i="6"/>
  <c r="V517" i="6"/>
  <c r="V518" i="6"/>
  <c r="V519" i="6"/>
  <c r="V520" i="6"/>
  <c r="V521" i="6"/>
  <c r="V522" i="6"/>
  <c r="V523" i="6"/>
  <c r="V524" i="6"/>
  <c r="V525" i="6"/>
  <c r="V526" i="6"/>
  <c r="V527" i="6"/>
  <c r="V528" i="6"/>
  <c r="V529" i="6"/>
  <c r="V530" i="6"/>
  <c r="V531" i="6"/>
  <c r="V532" i="6"/>
  <c r="V533" i="6"/>
  <c r="V534" i="6"/>
  <c r="V535" i="6"/>
  <c r="V536" i="6"/>
  <c r="V537" i="6"/>
  <c r="V538" i="6"/>
  <c r="V539" i="6"/>
  <c r="V540" i="6"/>
  <c r="V541" i="6"/>
  <c r="V542" i="6"/>
  <c r="V543" i="6"/>
  <c r="V544" i="6"/>
  <c r="V545" i="6"/>
  <c r="V546" i="6"/>
  <c r="V547" i="6"/>
  <c r="V548" i="6"/>
  <c r="V549" i="6"/>
  <c r="V550" i="6"/>
  <c r="V551" i="6"/>
  <c r="V552" i="6"/>
  <c r="V553" i="6"/>
  <c r="V554" i="6"/>
  <c r="V555" i="6"/>
  <c r="V556" i="6"/>
  <c r="V557" i="6"/>
  <c r="V558" i="6"/>
  <c r="V559" i="6"/>
  <c r="V404" i="6"/>
  <c r="V405" i="6"/>
  <c r="V409" i="6"/>
  <c r="V411" i="6"/>
  <c r="V413" i="6"/>
  <c r="V414" i="6"/>
  <c r="V416" i="6"/>
  <c r="V418" i="6"/>
  <c r="V420" i="6"/>
  <c r="V422" i="6"/>
  <c r="V423" i="6"/>
  <c r="V424" i="6"/>
  <c r="V427" i="6"/>
  <c r="V429" i="6"/>
  <c r="V431" i="6"/>
  <c r="V433" i="6"/>
  <c r="V436" i="6"/>
  <c r="V438" i="6"/>
  <c r="V440" i="6"/>
  <c r="V441" i="6"/>
  <c r="V443" i="6"/>
  <c r="V445" i="6"/>
  <c r="V448" i="6"/>
  <c r="V450" i="6"/>
  <c r="V454" i="6"/>
  <c r="V456" i="6"/>
  <c r="V458" i="6"/>
  <c r="V460" i="6"/>
  <c r="V463" i="6"/>
  <c r="V464" i="6"/>
  <c r="V466" i="6"/>
  <c r="V467" i="6"/>
  <c r="V469" i="6"/>
  <c r="V471" i="6"/>
  <c r="V472" i="6"/>
  <c r="V562" i="6"/>
  <c r="V564" i="6"/>
  <c r="V566" i="6"/>
  <c r="V567" i="6"/>
  <c r="V572" i="6"/>
  <c r="V573" i="6"/>
  <c r="V575" i="6"/>
  <c r="V576" i="6"/>
  <c r="V580" i="6"/>
  <c r="V582" i="6"/>
  <c r="V584" i="6"/>
  <c r="V586" i="6"/>
  <c r="V588" i="6"/>
  <c r="V589" i="6"/>
  <c r="V590" i="6"/>
  <c r="V596" i="6"/>
  <c r="V597" i="6"/>
  <c r="V598" i="6"/>
  <c r="V599" i="6"/>
  <c r="V602" i="6"/>
  <c r="V603" i="6"/>
  <c r="V604" i="6"/>
  <c r="V605" i="6"/>
  <c r="V606" i="6"/>
  <c r="V607" i="6"/>
  <c r="V608" i="6"/>
  <c r="V609" i="6"/>
  <c r="V610" i="6"/>
  <c r="V611" i="6"/>
  <c r="V612" i="6"/>
  <c r="V613" i="6"/>
  <c r="V614" i="6"/>
  <c r="V615" i="6"/>
  <c r="V616" i="6"/>
  <c r="V617" i="6"/>
  <c r="V618" i="6"/>
  <c r="V619" i="6"/>
  <c r="V620" i="6"/>
  <c r="V621" i="6"/>
  <c r="V622" i="6"/>
  <c r="V623" i="6"/>
  <c r="V624" i="6"/>
  <c r="V625" i="6"/>
  <c r="V626" i="6"/>
  <c r="V627" i="6"/>
  <c r="V628" i="6"/>
  <c r="V629" i="6"/>
  <c r="V630" i="6"/>
  <c r="V631" i="6"/>
  <c r="V632" i="6"/>
  <c r="V633" i="6"/>
  <c r="V634" i="6"/>
  <c r="V635" i="6"/>
  <c r="V636" i="6"/>
  <c r="V637" i="6"/>
  <c r="V638" i="6"/>
  <c r="V639" i="6"/>
  <c r="V640" i="6"/>
  <c r="V641" i="6"/>
  <c r="V642" i="6"/>
  <c r="V643" i="6"/>
  <c r="V644" i="6"/>
  <c r="V645" i="6"/>
  <c r="V646" i="6"/>
  <c r="V647" i="6"/>
  <c r="V648" i="6"/>
  <c r="V649" i="6"/>
  <c r="V650" i="6"/>
  <c r="V651" i="6"/>
  <c r="V652" i="6"/>
  <c r="V653" i="6"/>
  <c r="V654" i="6"/>
  <c r="V655" i="6"/>
  <c r="V656" i="6"/>
  <c r="V657" i="6"/>
  <c r="V658" i="6"/>
  <c r="V659" i="6"/>
  <c r="V660" i="6"/>
  <c r="V661" i="6"/>
  <c r="V662" i="6"/>
  <c r="V663" i="6"/>
  <c r="V664" i="6"/>
  <c r="V665" i="6"/>
  <c r="V666" i="6"/>
  <c r="V667" i="6"/>
  <c r="V668" i="6"/>
  <c r="V669" i="6"/>
  <c r="V670" i="6"/>
  <c r="V671" i="6"/>
  <c r="V672" i="6"/>
  <c r="V673" i="6"/>
  <c r="V674" i="6"/>
  <c r="V675" i="6"/>
  <c r="V676" i="6"/>
  <c r="V677" i="6"/>
  <c r="V678" i="6"/>
  <c r="V679" i="6"/>
  <c r="V680" i="6"/>
  <c r="V681" i="6"/>
  <c r="V682" i="6"/>
  <c r="V683" i="6"/>
  <c r="V684" i="6"/>
  <c r="V685" i="6"/>
  <c r="V686" i="6"/>
  <c r="V687" i="6"/>
  <c r="V688" i="6"/>
  <c r="V689" i="6"/>
  <c r="V690" i="6"/>
  <c r="V691" i="6"/>
  <c r="V692" i="6"/>
  <c r="V693" i="6"/>
  <c r="V694" i="6"/>
  <c r="V695" i="6"/>
  <c r="V696" i="6"/>
  <c r="V697" i="6"/>
  <c r="V698" i="6"/>
  <c r="V699" i="6"/>
  <c r="V700" i="6"/>
  <c r="V701" i="6"/>
  <c r="V702" i="6"/>
  <c r="V703" i="6"/>
  <c r="V704" i="6"/>
  <c r="V705" i="6"/>
  <c r="V706" i="6"/>
  <c r="V707" i="6"/>
  <c r="V708" i="6"/>
  <c r="V709" i="6"/>
  <c r="V710" i="6"/>
  <c r="V711" i="6"/>
  <c r="V712" i="6"/>
  <c r="V713" i="6"/>
  <c r="V714" i="6"/>
  <c r="V715" i="6"/>
  <c r="V406" i="6"/>
  <c r="V407" i="6"/>
  <c r="V408" i="6"/>
  <c r="V410" i="6"/>
  <c r="V412" i="6"/>
  <c r="V415" i="6"/>
  <c r="V417" i="6"/>
  <c r="V419" i="6"/>
  <c r="V421" i="6"/>
  <c r="V425" i="6"/>
  <c r="V426" i="6"/>
  <c r="V428" i="6"/>
  <c r="V430" i="6"/>
  <c r="V432" i="6"/>
  <c r="V434" i="6"/>
  <c r="V435" i="6"/>
  <c r="V437" i="6"/>
  <c r="V439" i="6"/>
  <c r="V442" i="6"/>
  <c r="V444" i="6"/>
  <c r="V446" i="6"/>
  <c r="V447" i="6"/>
  <c r="V449" i="6"/>
  <c r="V451" i="6"/>
  <c r="V452" i="6"/>
  <c r="V453" i="6"/>
  <c r="V455" i="6"/>
  <c r="V457" i="6"/>
  <c r="V459" i="6"/>
  <c r="V461" i="6"/>
  <c r="V462" i="6"/>
  <c r="V465" i="6"/>
  <c r="V468" i="6"/>
  <c r="V470" i="6"/>
  <c r="V560" i="6"/>
  <c r="V561" i="6"/>
  <c r="V563" i="6"/>
  <c r="V565" i="6"/>
  <c r="V568" i="6"/>
  <c r="V569" i="6"/>
  <c r="V570" i="6"/>
  <c r="V571" i="6"/>
  <c r="V574" i="6"/>
  <c r="V577" i="6"/>
  <c r="V578" i="6"/>
  <c r="V579" i="6"/>
  <c r="V581" i="6"/>
  <c r="V583" i="6"/>
  <c r="V585" i="6"/>
  <c r="V587" i="6"/>
  <c r="V591" i="6"/>
  <c r="V592" i="6"/>
  <c r="V593" i="6"/>
  <c r="V594" i="6"/>
  <c r="V595" i="6"/>
  <c r="V600" i="6"/>
  <c r="V601" i="6"/>
  <c r="V716" i="6"/>
  <c r="V717" i="6"/>
  <c r="V718" i="6"/>
  <c r="V719" i="6"/>
  <c r="V720" i="6"/>
  <c r="V721" i="6"/>
  <c r="V722" i="6"/>
  <c r="V723" i="6"/>
  <c r="V724" i="6"/>
  <c r="V725" i="6"/>
  <c r="V726" i="6"/>
  <c r="V727" i="6"/>
  <c r="V728" i="6"/>
  <c r="V729" i="6"/>
  <c r="V730" i="6"/>
  <c r="V731" i="6"/>
  <c r="V732" i="6"/>
  <c r="V733" i="6"/>
  <c r="V734" i="6"/>
  <c r="V735" i="6"/>
  <c r="V736" i="6"/>
  <c r="V737" i="6"/>
  <c r="V738" i="6"/>
  <c r="V739" i="6"/>
  <c r="V740" i="6"/>
  <c r="V741" i="6"/>
  <c r="V742" i="6"/>
  <c r="V743" i="6"/>
  <c r="V744" i="6"/>
  <c r="V745" i="6"/>
  <c r="V746" i="6"/>
  <c r="V747" i="6"/>
  <c r="V748" i="6"/>
  <c r="V749" i="6"/>
  <c r="V750" i="6"/>
  <c r="V751" i="6"/>
  <c r="V752" i="6"/>
  <c r="V753" i="6"/>
  <c r="V754" i="6"/>
  <c r="V755" i="6"/>
  <c r="V756" i="6"/>
  <c r="V757" i="6"/>
  <c r="V758" i="6"/>
  <c r="V759" i="6"/>
  <c r="V760" i="6"/>
  <c r="V761" i="6"/>
  <c r="V762" i="6"/>
  <c r="V763" i="6"/>
  <c r="V764" i="6"/>
  <c r="V765" i="6"/>
  <c r="V766" i="6"/>
  <c r="V767" i="6"/>
  <c r="V768" i="6"/>
  <c r="V769" i="6"/>
  <c r="V770" i="6"/>
  <c r="V771" i="6"/>
  <c r="V772" i="6"/>
  <c r="V773" i="6"/>
  <c r="V774" i="6"/>
  <c r="V775" i="6"/>
  <c r="V776" i="6"/>
  <c r="V777" i="6"/>
  <c r="V778" i="6"/>
  <c r="V779" i="6"/>
  <c r="V780" i="6"/>
  <c r="V781" i="6"/>
  <c r="V782" i="6"/>
  <c r="V783" i="6"/>
  <c r="V784" i="6"/>
  <c r="V785" i="6"/>
  <c r="V786" i="6"/>
  <c r="V787" i="6"/>
  <c r="V788" i="6"/>
  <c r="V789" i="6"/>
  <c r="V790" i="6"/>
  <c r="V791" i="6"/>
  <c r="V792" i="6"/>
  <c r="V793" i="6"/>
  <c r="V794" i="6"/>
  <c r="V795" i="6"/>
  <c r="V796" i="6"/>
  <c r="V797" i="6"/>
  <c r="V798" i="6"/>
  <c r="V799" i="6"/>
  <c r="V800" i="6"/>
  <c r="V801" i="6"/>
  <c r="V802" i="6"/>
  <c r="V803" i="6"/>
  <c r="V804" i="6"/>
  <c r="V805" i="6"/>
  <c r="V806" i="6"/>
  <c r="V807" i="6"/>
  <c r="V808" i="6"/>
  <c r="V809" i="6"/>
  <c r="V810" i="6"/>
  <c r="V811" i="6"/>
  <c r="V812" i="6"/>
  <c r="V813" i="6"/>
  <c r="V814" i="6"/>
  <c r="V815" i="6"/>
  <c r="V816" i="6"/>
  <c r="V817" i="6"/>
  <c r="V818" i="6"/>
  <c r="V819" i="6"/>
  <c r="V820" i="6"/>
  <c r="V821" i="6"/>
  <c r="V822" i="6"/>
  <c r="V823" i="6"/>
  <c r="V824" i="6"/>
  <c r="V825" i="6"/>
  <c r="V826" i="6"/>
  <c r="V827" i="6"/>
  <c r="V828" i="6"/>
  <c r="V829" i="6"/>
  <c r="V830" i="6"/>
  <c r="V831" i="6"/>
  <c r="V832" i="6"/>
  <c r="V833" i="6"/>
  <c r="V834" i="6"/>
  <c r="V835" i="6"/>
  <c r="V836" i="6"/>
  <c r="V837" i="6"/>
  <c r="V838" i="6"/>
  <c r="V839" i="6"/>
  <c r="V840" i="6"/>
  <c r="V841" i="6"/>
  <c r="V842" i="6"/>
  <c r="V843" i="6"/>
  <c r="V844" i="6"/>
  <c r="V845" i="6"/>
  <c r="V846" i="6"/>
  <c r="V847" i="6"/>
  <c r="V848" i="6"/>
  <c r="V849" i="6"/>
  <c r="V850" i="6"/>
  <c r="V851" i="6"/>
  <c r="V852" i="6"/>
  <c r="V853" i="6"/>
  <c r="V854" i="6"/>
  <c r="V855" i="6"/>
  <c r="V856" i="6"/>
  <c r="V857" i="6"/>
  <c r="V858" i="6"/>
  <c r="V859" i="6"/>
  <c r="V860" i="6"/>
  <c r="V861" i="6"/>
  <c r="V862" i="6"/>
  <c r="V863" i="6"/>
  <c r="V864" i="6"/>
  <c r="V865" i="6"/>
  <c r="V866" i="6"/>
  <c r="V867" i="6"/>
  <c r="V868" i="6"/>
  <c r="V869" i="6"/>
  <c r="V870" i="6"/>
  <c r="V871" i="6"/>
  <c r="V872" i="6"/>
  <c r="V873" i="6"/>
  <c r="V874" i="6"/>
  <c r="V875" i="6"/>
  <c r="V876" i="6"/>
  <c r="V877" i="6"/>
  <c r="V878" i="6"/>
  <c r="V879" i="6"/>
  <c r="V880" i="6"/>
  <c r="V881" i="6"/>
  <c r="V882" i="6"/>
  <c r="V883" i="6"/>
  <c r="V884" i="6"/>
  <c r="V885" i="6"/>
  <c r="V886" i="6"/>
  <c r="V887" i="6"/>
  <c r="V888" i="6"/>
  <c r="V889" i="6"/>
  <c r="V890" i="6"/>
  <c r="V891" i="6"/>
  <c r="V892" i="6"/>
  <c r="V893" i="6"/>
  <c r="V894" i="6"/>
  <c r="V895" i="6"/>
  <c r="V896" i="6"/>
  <c r="V897" i="6"/>
  <c r="V898" i="6"/>
  <c r="V899" i="6"/>
  <c r="V900" i="6"/>
  <c r="V901" i="6"/>
  <c r="V902" i="6"/>
  <c r="V903" i="6"/>
  <c r="V904" i="6"/>
  <c r="V905" i="6"/>
  <c r="V906" i="6"/>
  <c r="V907" i="6"/>
  <c r="V908" i="6"/>
  <c r="V909" i="6"/>
  <c r="V910" i="6"/>
  <c r="V911" i="6"/>
  <c r="V912" i="6"/>
  <c r="V913" i="6"/>
  <c r="V914" i="6"/>
  <c r="V915" i="6"/>
  <c r="V916" i="6"/>
  <c r="V917" i="6"/>
  <c r="V918" i="6"/>
  <c r="V919" i="6"/>
  <c r="V920" i="6"/>
  <c r="V921" i="6"/>
  <c r="V922" i="6"/>
  <c r="V923" i="6"/>
  <c r="V924" i="6"/>
  <c r="V925" i="6"/>
  <c r="V926" i="6"/>
  <c r="V927" i="6"/>
  <c r="V928" i="6"/>
  <c r="V929" i="6"/>
  <c r="V930" i="6"/>
  <c r="V931" i="6"/>
  <c r="V932" i="6"/>
  <c r="V933" i="6"/>
  <c r="V934" i="6"/>
  <c r="V935" i="6"/>
  <c r="V936" i="6"/>
  <c r="V937" i="6"/>
  <c r="V938" i="6"/>
  <c r="V939" i="6"/>
  <c r="V940" i="6"/>
  <c r="V941" i="6"/>
  <c r="V942" i="6"/>
  <c r="V943" i="6"/>
  <c r="V944" i="6"/>
  <c r="V945" i="6"/>
  <c r="V946" i="6"/>
  <c r="V947" i="6"/>
  <c r="V948" i="6"/>
  <c r="V949" i="6"/>
  <c r="V950" i="6"/>
  <c r="V951" i="6"/>
  <c r="V952" i="6"/>
  <c r="V953" i="6"/>
  <c r="V954" i="6"/>
  <c r="V955" i="6"/>
  <c r="V956" i="6"/>
  <c r="V957" i="6"/>
  <c r="V958" i="6"/>
  <c r="V959" i="6"/>
  <c r="V960" i="6"/>
  <c r="V961" i="6"/>
  <c r="V962" i="6"/>
  <c r="V963" i="6"/>
  <c r="V964" i="6"/>
  <c r="V965" i="6"/>
  <c r="V966" i="6"/>
  <c r="V967" i="6"/>
  <c r="V968" i="6"/>
  <c r="V969" i="6"/>
  <c r="V970" i="6"/>
  <c r="V971" i="6"/>
  <c r="V972" i="6"/>
  <c r="V973" i="6"/>
  <c r="V974" i="6"/>
  <c r="V975" i="6"/>
  <c r="V976" i="6"/>
  <c r="V977" i="6"/>
  <c r="V978" i="6"/>
  <c r="V979" i="6"/>
  <c r="V980" i="6"/>
  <c r="V981" i="6"/>
  <c r="V982" i="6"/>
  <c r="V983" i="6"/>
  <c r="V984" i="6"/>
  <c r="V985" i="6"/>
  <c r="V986" i="6"/>
  <c r="V987" i="6"/>
  <c r="V988" i="6"/>
  <c r="V989" i="6"/>
  <c r="V990" i="6"/>
  <c r="V991" i="6"/>
  <c r="V992" i="6"/>
  <c r="V993" i="6"/>
  <c r="V994" i="6"/>
  <c r="V995" i="6"/>
  <c r="V996" i="6"/>
  <c r="V997" i="6"/>
  <c r="V998" i="6"/>
  <c r="V999" i="6"/>
  <c r="V1000" i="6"/>
  <c r="V1001" i="6"/>
  <c r="V1002" i="6"/>
  <c r="V1003" i="6"/>
  <c r="V1004" i="6"/>
  <c r="V1005" i="6"/>
  <c r="C14" i="12"/>
  <c r="H136" i="14"/>
  <c r="J136" i="14" s="1"/>
  <c r="L136" i="14" s="1"/>
  <c r="C11" i="13"/>
  <c r="L130" i="14"/>
  <c r="I22" i="12"/>
  <c r="F136" i="14"/>
  <c r="P130" i="14"/>
  <c r="F137" i="14" s="1"/>
  <c r="H137" i="14" l="1"/>
  <c r="J137" i="14" s="1"/>
  <c r="L137" i="14" s="1"/>
  <c r="C12" i="1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Powell United</author>
  </authors>
  <commentList>
    <comment ref="B6" authorId="0" shapeId="0" xr:uid="{00000000-0006-0000-0400-000001000000}">
      <text>
        <r>
          <rPr>
            <sz val="11"/>
            <color theme="1"/>
            <rFont val="Calibri"/>
            <family val="2"/>
            <scheme val="minor"/>
          </rPr>
          <t>YOU INVENT THIS ID. It is not printed on your bank statement and you will not find it there.
Convention: 2026-01-BOA-CHK  (year - month - account)
Three rules:
1. One batch = one account = one statement period.
2. The same ID on every row of the batch.
3. All six header fields before you paste - until then the checks on this sheet are OFF.</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Powell United</author>
  </authors>
  <commentList>
    <comment ref="A1" authorId="0" shapeId="0" xr:uid="{00000000-0006-0000-0500-000001000000}">
      <text>
        <r>
          <rPr>
            <sz val="11"/>
            <color theme="1"/>
            <rFont val="Calibri"/>
            <family val="2"/>
            <scheme val="minor"/>
          </rPr>
          <t>One bank line = one row. Never split a row here - use Settlements, Transfers or Payroll Allocation. Grey columns are protected formulas.</t>
        </r>
      </text>
    </comment>
  </commentList>
</comments>
</file>

<file path=xl/sharedStrings.xml><?xml version="1.0" encoding="utf-8"?>
<sst xmlns="http://schemas.openxmlformats.org/spreadsheetml/2006/main" count="3289" uniqueCount="1188">
  <si>
    <t>POWELL UNITED BOOKKEEPING STARTER</t>
  </si>
  <si>
    <t>Healthcare &amp; Care Services Edition - for physicians, dentists, therapists, chiropractors, optometrists, home-health and home-care agencies, elderly-care and assisted-living operators, and other owner-led healthcare and care-service businesses.</t>
  </si>
  <si>
    <t>v1.2 PILOT EDITION - for your practice only</t>
  </si>
  <si>
    <t>A guided workbook that helps owner-led healthcare and care-service businesses organize transactions, validate imports, reconcile accounts, and prepare records for professional review.</t>
  </si>
  <si>
    <t>A guided workflow with core working sheets and specialized sections used only when relevant.</t>
  </si>
  <si>
    <t>HOW TO DO A MONTH - THE WHOLE PROCESS</t>
  </si>
  <si>
    <t>Do these in order. Steps 1 and 2 are once, when you set up. Steps 3 to 14 are every month. Step 10 lists four sheets that only some businesses need - each one asks you a question, and you skip it if the answer is no.</t>
  </si>
  <si>
    <t>SET UP ONCE</t>
  </si>
  <si>
    <t>1</t>
  </si>
  <si>
    <t>2. Setup  -  your business, your tax year, and your tax classification. If you are taxed as an S corporation, say so here: several checks depend on it.</t>
  </si>
  <si>
    <t>2</t>
  </si>
  <si>
    <t>3. Accounts  -  add every bank account and credit card TITLED TO THE BUSINESS. Only accounts listed here can be used anywhere else in the workbook.</t>
  </si>
  <si>
    <t>EVERY MONTH</t>
  </si>
  <si>
    <t>3</t>
  </si>
  <si>
    <t>Get the month out of your bank. Download it as CSV if you can. Only if there is no CSV, see '4. AI Assistant' - that route is optional and has compliance conditions.</t>
  </si>
  <si>
    <t>4</t>
  </si>
  <si>
    <t>5. AI Import Staging  -  fill the batch header FIRST: batch ID, account, period start, period end, and the statement's own total deposits and total withdrawals. Until all six are in, the header reads 'checks are OFF' and nothing below is being checked.</t>
  </si>
  <si>
    <t>5</t>
  </si>
  <si>
    <t>Paste the month's rows into staging. One bank line = one row. Put the batch ID on EVERY row - a row without it is not in the batch and is not counted.</t>
  </si>
  <si>
    <t>6</t>
  </si>
  <si>
    <t>Work every row until Admissible? reads Yes.</t>
  </si>
  <si>
    <t>7</t>
  </si>
  <si>
    <t>Check the tie-out band: the deposit difference and the withdrawal difference must both read 0.00 and the result must read 'Tied out'. If it does not, a row is missing, duplicated or mistyped. Fix it here, not later.</t>
  </si>
  <si>
    <t>8</t>
  </si>
  <si>
    <t>Copy only the admissible rows into '6. Transactions'.</t>
  </si>
  <si>
    <t>9</t>
  </si>
  <si>
    <t>Categorise. Accept a suggested category you agree with, or type your own in 'Your category'. If you are not sure, leave the row in Review Required - see step 13.</t>
  </si>
  <si>
    <t>10</t>
  </si>
  <si>
    <t>Now the specialised sheets. Do each one whose question you answer yes to:</t>
  </si>
  <si>
    <t>?</t>
  </si>
  <si>
    <t xml:space="preserve">      7. Settlements  -  does a card processor (Square, Stripe, a merchant account) pay you the NET amount after taking its fees?</t>
  </si>
  <si>
    <t xml:space="preserve">      8. Transfers  -  did you move money between your own accounts, or pay a credit card from your checking?</t>
  </si>
  <si>
    <t xml:space="preserve">      9. Payroll Allocation  -  did you run payroll? If you are taxed as an S corporation and pay yourself a W-2 wage, that IS payroll and this sheet is required, even if you have no other employees. Use the OWNER / SHAREHOLDER components for your own wages.</t>
  </si>
  <si>
    <t xml:space="preserve">      10. Mileage Log  -  did you drive for work and intend to claim the standard mileage rate?</t>
  </si>
  <si>
    <t>11</t>
  </si>
  <si>
    <t>11. Reconciliation  -  prove each account against its own statement: beginning balance, ending balance, total deposits, total withdrawals.</t>
  </si>
  <si>
    <t>12</t>
  </si>
  <si>
    <t>12. Dashboard  -  read the NEEDS FIXING block. Every line should be a zero, or say why a check has not run. Do not send anything to your accountant while a line there is red.</t>
  </si>
  <si>
    <t>13</t>
  </si>
  <si>
    <t>Read the IN PROGRESS block too. Review Required and Uncategorized are EXPECTED to have numbers in them and a finished month often does. Never clear one by choosing a category that looks close enough - nothing else in this workbook will catch that.</t>
  </si>
  <si>
    <t>14</t>
  </si>
  <si>
    <t>14. Profit &amp; Loss  -  check the three TIE-OUT lines at the bottom all read 'Ties out'. They compare this statement against the Dashboard by a different route, so a difference means a category is missing from the grouping. Read the note at the top about where the tax line numbers come from before you send this to anyone.</t>
  </si>
  <si>
    <t>15</t>
  </si>
  <si>
    <t>13. CPA Handoff  -  read it top to bottom before you send it. Check the owner / shareholder wage lines say what you expect.</t>
  </si>
  <si>
    <t>Yellow cells with blue text are the ones you type in. READING THE COLOURS below explains the rest.</t>
  </si>
  <si>
    <t>Grey tabs (Categories, Rules, Rule Exceptions, Tax Rules) are the engine. They are open for inspection so nothing is hidden from you, but the workbook works without you touching them.</t>
  </si>
  <si>
    <t>READING THE COLOURS</t>
  </si>
  <si>
    <t>Yellow with blue text  =  you type here. Unlocked.</t>
  </si>
  <si>
    <t>Grey  =  calculated and protected. You cannot overwrite a formula.</t>
  </si>
  <si>
    <t>Orange  =  needs attention before this goes to an accountant.</t>
  </si>
  <si>
    <t>Green  =  a check that passed.</t>
  </si>
  <si>
    <t>Green tab  =  core path. Everyone uses these.</t>
  </si>
  <si>
    <t>Blue tab  =  specialized. Only if it applies to you.</t>
  </si>
  <si>
    <t>Grey tab  =  reference. Rarely opened.</t>
  </si>
  <si>
    <t>EVERY SHEET HAS A ROW LIMIT - AND IT TELLS YOU</t>
  </si>
  <si>
    <t>Each data sheet ends with a red STOP line and a live counter showing rows used, capacity and rows remaining. Cells below the STOP line are locked, so you cannot enter a row that the reports would silently ignore. The counter turns amber before you run out. If a sheet reads FULL, stop and contact us rather than working around it.</t>
  </si>
  <si>
    <t>WHAT THIS IS NOT</t>
  </si>
  <si>
    <t>-</t>
  </si>
  <si>
    <t>Not automated bookkeeping.</t>
  </si>
  <si>
    <t>Not tax software.</t>
  </si>
  <si>
    <t>Not a substitute for accounting review.</t>
  </si>
  <si>
    <t>Not proof that the books are complete.</t>
  </si>
  <si>
    <t>Statement tie-out, not proof that nothing was omitted or duplicated.</t>
  </si>
  <si>
    <t>Cash basis only - no receivables, payables or inventory. It calculates no tax of any kind, for any entity type; '13. CPA Handoff' organizes inputs for a professional instead.</t>
  </si>
  <si>
    <t>Sheets are protected without a password. That is a guardrail against deleting a formula, not security - anyone can remove it in two clicks, and it does not encrypt or protect the file. Do not rely on it to keep anything confidential.</t>
  </si>
  <si>
    <t>IMPORTANT</t>
  </si>
  <si>
    <t>This workbook is provided for general educational and organizational purposes only. It is not accounting, tax, legal or compliance advice, and using it does not create a client relationship with Powell United Financial Services. Tax figures change - every one used here is dated on the Tax Rules sheet with its source. Category and tax-line references are general guidance, not a determination about your facts. Consult a qualified professional before you file anything.</t>
  </si>
  <si>
    <t>Contact Powell United for the approved secure submission method.  Do not email statements and do not send them by text.</t>
  </si>
  <si>
    <t>Powell United Financial Services - accounting and advisory for healthcare and care-service businesses. Houston, Texas. admin@powellunited.com</t>
  </si>
  <si>
    <t>v1.2 PILOT EDITION - for your practice only  |  Rules current through 2026-08-01  |  Last reviewed 2026-08-01  |  Powell United Financial Services - admin@powellunited.com</t>
  </si>
  <si>
    <t>SETUP</t>
  </si>
  <si>
    <t>Fill in the yellow cells once. Grey cells are calculated - they are protected so you cannot overwrite a formula by accident.</t>
  </si>
  <si>
    <t>YOUR BUSINESS</t>
  </si>
  <si>
    <t>Business name</t>
  </si>
  <si>
    <t>Your Healthcare Business, PLLC</t>
  </si>
  <si>
    <t>Appears on your reports.</t>
  </si>
  <si>
    <t>Owner name</t>
  </si>
  <si>
    <t>Dr. Jane Doe</t>
  </si>
  <si>
    <t>Type of healthcare business</t>
  </si>
  <si>
    <t>Physician - solo or small group</t>
  </si>
  <si>
    <t>NOT YET ACTIVE - recorded for your accountant only. The categories and rules in this workbook are the same for every specialty.</t>
  </si>
  <si>
    <t>Tax classification</t>
  </si>
  <si>
    <t>REQUIRED. Several checks depend on this, and one of them stays switched off until you answer. No tax is calculated here.</t>
  </si>
  <si>
    <t>Tax year</t>
  </si>
  <si>
    <t>Sets every date range in the workbook.</t>
  </si>
  <si>
    <t>Year start</t>
  </si>
  <si>
    <t>Calculated from the tax year.</t>
  </si>
  <si>
    <t>Year end</t>
  </si>
  <si>
    <t>PLANNING INPUTS FOR YOUR ACCOUNTANT - COLLECTED, NEVER CALCULATED</t>
  </si>
  <si>
    <t>Recorded and handed off. The workbook computes no deduction, no tax and no payment from any of them.</t>
  </si>
  <si>
    <t>Home office square feet</t>
  </si>
  <si>
    <t>Used regularly AND exclusively for business. Your accountant applies the limits.</t>
  </si>
  <si>
    <t>Total home square feet</t>
  </si>
  <si>
    <t>Only needed if your accountant uses the actual method.</t>
  </si>
  <si>
    <t>Vehicle method you intend to use</t>
  </si>
  <si>
    <t>Standard mileage</t>
  </si>
  <si>
    <t>Standard mileage OR actual expenses - never both for one vehicle.</t>
  </si>
  <si>
    <t>WHAT THIS WORKBOOK DELIBERATELY DOES NOT DO</t>
  </si>
  <si>
    <t>-  It calculates no estimated quarterly tax, no self-employment tax and no tax liability. That boundary is deliberate: projections and payment recommendations are professional work, not spreadsheet output.</t>
  </si>
  <si>
    <t>-  It does not apply the meals limitation, depreciation, the home-office deduction or the qualified business income deduction. It hands your accountant the inputs instead.</t>
  </si>
  <si>
    <t>-  It is cash basis. No accounts receivable, no accounts payable, no inventory and no accrual adjustments.</t>
  </si>
  <si>
    <t>-  It does not prove your books are complete. It checks what you entered against what your statements say, which is a smaller and more honest claim.</t>
  </si>
  <si>
    <t>ACCOUNTS</t>
  </si>
  <si>
    <t>Every bank account, credit card and processor clearing account TITLED TO THE BUSINESS. Each one reconciles separately - balances are never combined.</t>
  </si>
  <si>
    <t>CREDIT CARDS: enter the balance you OWE as a POSITIVE amount - never a negative. A charge is Money Out, because it increases what you owe. A payment or a refund is Money In, because it reduces what you owe. The reconciliation applies that sign logic for you.</t>
  </si>
  <si>
    <t>WORKED EXAMPLE: you owe $800 at the start of the month. You charge $100 to the card and pay $250 off it. Ending balance owed = 800 + 100 - 250 = $650. On the Reconciliation sheet enter 800 as the Statement beginning balance and 650 as the Statement ending balance. Both positive. Balances are entered there, not here.</t>
  </si>
  <si>
    <t>Account name</t>
  </si>
  <si>
    <t>Type</t>
  </si>
  <si>
    <t>Institution
(optional)</t>
  </si>
  <si>
    <t>Last 4
(optional)</t>
  </si>
  <si>
    <t>Notes (optional)</t>
  </si>
  <si>
    <t>STOP - END OF THE ACCOUNTS AREA. Row 27 is the last usable row. Cells below this line are locked on purpose: anything typed there would look fine but would be invisible to every report. If you are out of room, contact Powell United before continuing.</t>
  </si>
  <si>
    <t>Rows used</t>
  </si>
  <si>
    <t>Capacity</t>
  </si>
  <si>
    <t>Rows remaining</t>
  </si>
  <si>
    <t>Capacity status</t>
  </si>
  <si>
    <t>Reports read rows 8 to 27 only. This counter is the whole story - if it says FULL, stop entering.</t>
  </si>
  <si>
    <t>A BUSINESS EXPENSE PAID ON A PERSONAL CARD IS NOT REGISTERED HERE. Do not add the personal card as an account. Reimburse yourself through an accountable plan and enter only the reimbursement - the payment that leaves a business account. (The opposite case, a personal charge on a business account, is handled by the 'Owner Personal / Non-Business' category and needs nothing here.)</t>
  </si>
  <si>
    <t>AI ASSISTANT - EXTRACTION ONLY</t>
  </si>
  <si>
    <t>An AI assistant can read a statement and type it out. That is the whole of its job here. It does not categorize, decide, or touch this file.</t>
  </si>
  <si>
    <t>STOP - READ THIS BEFORE YOU UPLOAD ANYTHING</t>
  </si>
  <si>
    <t>Do not upload protected health information unless your organization has a signed Business Associate Agreement with the AI provider and has confirmed that the exact product, workspace, feature, and configuration being used are covered. A plan name alone is not enough. If you cannot confirm coverage, do not upload the statement.</t>
  </si>
  <si>
    <t>A healthcare business bank statement is not an ordinary bank statement. Payer remittance lines, patient payment memos and peer-to-peer transfers can carry patient names, member IDs and claim numbers.</t>
  </si>
  <si>
    <t>Institution-exported CSV is the standard workflow. Download the transactions from your bank as CSV, delete the columns and rows you do not need, and work from that. It is faster, more accurate, and it exposes far less.</t>
  </si>
  <si>
    <t>PDF-to-AI extraction is an OPTIONAL, compliance-gated workflow. Use it only if you have confirmed BAA coverage as described above, and only one statement at a time.</t>
  </si>
  <si>
    <t>Review descriptions for patient names, member IDs, claim numbers and other sensitive information before they go anywhere.</t>
  </si>
  <si>
    <t>Removing a few obvious names does not necessarily make information HIPAA de-identified. De-identification is a defined standard, not a judgement call.</t>
  </si>
  <si>
    <t>You are responsible for confirming your organization's privacy and security requirements. This tab is guidance, not a compliance determination, and no general consumer or business AI plan should be assumed to be covered.</t>
  </si>
  <si>
    <t>THIS IS YOUR DECISION, NOT OURS. This workbook does not send your data anywhere - everything in it runs on your own computer. If you choose to put your records through an AI tool, you are doing that under your own account, your own contracts and your own judgement. Powell United accepts no liability for that choice or its consequences, and nothing on this tab is a representation that any AI product is suitable for protected health information.</t>
  </si>
  <si>
    <t>If you would rather not make this call, do not use an AI tool for it. Contact Powell United for the approved secure submission method. Do not email statements and do not send them by text.</t>
  </si>
  <si>
    <t>USING AN AI TO TYPE UP A STATEMENT - THREE STEPS</t>
  </si>
  <si>
    <t>Export a CSV from your financial institution whenever possible. You do not need this tab at all if you have a CSV.</t>
  </si>
  <si>
    <t>Only if there is no CSV, and only with confirmed BAA coverage as described above, use one PDF at a time.</t>
  </si>
  <si>
    <t>Choose this statement's account below, send the prompt to Claude or ChatGPT, and paste the result into '5. AI Import Staging' - never into the ledger.</t>
  </si>
  <si>
    <t>The rest of the month - staging checks, the tie-out, the ledger, reconciliation and the Dashboard - is on '1. Start Here'. This tab only helps you type the rows.</t>
  </si>
  <si>
    <t>FIRST - WHICH ACCOUNT IS THIS STATEMENT FOR?</t>
  </si>
  <si>
    <t>Choose the account, and both prompts below fill themselves in with it. Nothing to edit, nothing to forget. Until you choose one they show a STOP message instead of a prompt.</t>
  </si>
  <si>
    <t>Account this statement belongs to</t>
  </si>
  <si>
    <t>Tax year (from Setup)</t>
  </si>
  <si>
    <t>EXTRACTION PROMPT - COPY THE GREY BOX</t>
  </si>
  <si>
    <t>Nothing to replace. Copy the whole grey box exactly as it stands.</t>
  </si>
  <si>
    <t>PASTE INTO '5. AI Import Staging', starting at the first empty row in the Account column. Fill in the batch header first. Never paste into '6. Transactions' directly - the staging checks are the whole point.</t>
  </si>
  <si>
    <t>CATEGORY SUGGESTIONS - A SEPARATE, OPTIONAL STEP</t>
  </si>
  <si>
    <t>Anything an AI suggests about categories is a PROPOSAL. Record it in the AI Rule Proposals block at the bottom of the Rules sheet, which sits outside every range the engine reads. It changes nothing until you copy it into the active table yourself.</t>
  </si>
  <si>
    <t>My bookkeeping spreadsheet categorizes transactions by matching keywords in the
bank description. Some rows did not match. Suggest categories and reusable keywords.
For each transaction below give me:
1. Category - chosen ONLY from MY CATEGORY LIST, copied exactly.
2. Keyword - the distinctive part of the vendor name that would catch it next time.
   Never a date, store number, reference number or amount.
3. Direction - In if this vendor only ever appears as a deposit, Out if only ever a
   payment, Any if it could be either.
Return a table: Description | Category | Keyword | Direction
I am a healthcare business, so be careful: an insurance company name arriving as a
deposit is patient revenue, while the same name going out is a premium I paid.
If a vendor sells both business and personal goods, say REVIEW REQUIRED rather than
picking a category.
If you are not confident, write ASK MY ACCOUNTANT. I would rather have a blank than
a wrong deduction on a tax return.
These are suggestions for me to review. Do not tell me they are correct.
MY CATEGORY LIST - paste column B of the Categories sheet below this line:
TRANSACTIONS THAT DID NOT MATCH - paste the Description column for the rows
showing Review Required or Uncategorized below this line:</t>
  </si>
  <si>
    <t>WHAT WE WILL NOT ASK AN AI TO DECIDE</t>
  </si>
  <si>
    <t>Categories. Extraction is mechanical and checkable; deciding what is deductible is not. The rule engine categorizes so the logic stays visible and auditable on the Rules sheet.</t>
  </si>
  <si>
    <t>Whether something is deductible, whether you owe an information return, or what to pay in tax. None of that is in this workbook at all.</t>
  </si>
  <si>
    <t>Which rows to admit to the permanent ledger. You do that.</t>
  </si>
  <si>
    <t>AI IMPORT STAGING</t>
  </si>
  <si>
    <t>Nothing reaches the permanent ledger from here without passing validation. Paste extracted rows in, resolve every exception, then copy only the admissible rows into Transactions.</t>
  </si>
  <si>
    <t>BATCH HEADER - FILL THIS IN BEFORE YOU PASTE</t>
  </si>
  <si>
    <t>Import batch ID</t>
  </si>
  <si>
    <t>Account</t>
  </si>
  <si>
    <t>Statement period start</t>
  </si>
  <si>
    <t>Statement period end</t>
  </si>
  <si>
    <t>Statement total deposits</t>
  </si>
  <si>
    <t>Statement total withdrawals</t>
  </si>
  <si>
    <t>Batch ID</t>
  </si>
  <si>
    <t>Date</t>
  </si>
  <si>
    <t>Description (verbatim)</t>
  </si>
  <si>
    <t>Money In</t>
  </si>
  <si>
    <t>Money Out</t>
  </si>
  <si>
    <t>Source /
statement ref</t>
  </si>
  <si>
    <t>Dup in batch?</t>
  </si>
  <si>
    <t>Dup vs ledger?</t>
  </si>
  <si>
    <t>Duplicate key</t>
  </si>
  <si>
    <t>Validation result</t>
  </si>
  <si>
    <t>Admissible?</t>
  </si>
  <si>
    <t>STOP - END OF THE IMPORT STAGING AREA. Row 499 is the last usable row. Cells below this line are locked on purpose: anything typed there would look fine but would be invisible to every report. If you are out of room, contact Powell United before continuing.</t>
  </si>
  <si>
    <t>Reports read rows 10 to 499 only. This counter is the whole story - if it says FULL, stop entering.</t>
  </si>
  <si>
    <t>STATEMENT TIE-OUT</t>
  </si>
  <si>
    <t>A TIE-OUT, not proof. It compares totals, so it catches a missed page or a doubled paste. Two errors that happen to cancel each other out will still tie. It does not tell you the categories are right.</t>
  </si>
  <si>
    <t>Rows in this batch</t>
  </si>
  <si>
    <t>Batch deposits</t>
  </si>
  <si>
    <t>Batch withdrawals</t>
  </si>
  <si>
    <t>Statement
deposits</t>
  </si>
  <si>
    <t>Statement
withdrawals</t>
  </si>
  <si>
    <t>Deposit difference</t>
  </si>
  <si>
    <t>Withdrawal difference</t>
  </si>
  <si>
    <t>Rows still not admissible</t>
  </si>
  <si>
    <t>TIE-OUT RESULT</t>
  </si>
  <si>
    <t>MOVING ROWS TO THE PERMANENT LEDGER</t>
  </si>
  <si>
    <t>This workbook contains no macros, so it cannot move rows for you - and a tool that silently moved data would be the wrong design anyway. Do it in two steps, and check the result before you carry on.</t>
  </si>
  <si>
    <t>Filter Admissible? to Yes.</t>
  </si>
  <si>
    <t>Select columns C to G - Date, Account, Description, Money In, Money Out. These five are in the same order as the ledger, so they paste as one block.</t>
  </si>
  <si>
    <t>Copy, then paste-special as VALUES into '6. Transactions' at column B, on the first empty row. Column A fills in the Txn ID for you.</t>
  </si>
  <si>
    <t>Type the Batch ID from B7 into column O of those same ledger rows.</t>
  </si>
  <si>
    <t>Check that every pasted row now shows a Txn ID and an Account. If any row is blank, undo the paste and start again - do not fix it by hand.</t>
  </si>
  <si>
    <t>Admissible? changes to POSTED by itself once the rows are in the ledger. Anything still showing NO stays here until you fix it.</t>
  </si>
  <si>
    <t>TRANSACTIONS - THE PERMANENT CASH LEDGER</t>
  </si>
  <si>
    <t>One bank line = one row, always. This ledger ties to your statements. Splits never happen here - they happen on Settlements, Transfers and Payroll Allocation.</t>
  </si>
  <si>
    <t>Grey columns are protected formulas. If a category is wrong, type the right one in 'Your category' - it always wins and it survives recalculation.</t>
  </si>
  <si>
    <t>Txn ID</t>
  </si>
  <si>
    <t>Description (verbatim from the bank)</t>
  </si>
  <si>
    <t>Pri</t>
  </si>
  <si>
    <t>Suggested category</t>
  </si>
  <si>
    <t>Your category (overrides)</t>
  </si>
  <si>
    <t>Category used</t>
  </si>
  <si>
    <t>Reporting treatment</t>
  </si>
  <si>
    <t>Bus %</t>
  </si>
  <si>
    <t>Deductible</t>
  </si>
  <si>
    <t>Operating revenue</t>
  </si>
  <si>
    <t>Link ID</t>
  </si>
  <si>
    <t>Notes</t>
  </si>
  <si>
    <t>Detail</t>
  </si>
  <si>
    <t>DROPDOWN SOURCE - built automatically, do not type here</t>
  </si>
  <si>
    <t>n</t>
  </si>
  <si>
    <t>The list the other sheets show</t>
  </si>
  <si>
    <t>STOP - END OF THE TRANSACTIONS AREA. Row 1005 is the last usable row. Cells below this line are locked on purpose: anything typed there would look fine but would be invisible to every report. If you are out of room, contact Powell United before continuing.</t>
  </si>
  <si>
    <t>Reports read rows 6 to 1005 only. This counter is the whole story - if it says FULL, stop entering.</t>
  </si>
  <si>
    <t>PROCESSOR SETTLEMENTS</t>
  </si>
  <si>
    <t>Expands ONE net bank deposit into the gross receipts, fees and refunds behind it. Cash ties to the net deposit; revenue is reported gross. A settlement contributes revenue only when its status reads Tied out.</t>
  </si>
  <si>
    <t>Do NOT gross up the bank row. The deposit stays in Transactions at the amount the bank actually shows, categorized 'Processor Settlement Deposit', which is clearing and contributes no revenue. Revenue and processing fees come from THIS sheet.</t>
  </si>
  <si>
    <t>FILL THIS SHEET IN THIS ORDER - one row per bank deposit from your processor.
1. Date (column C) and Processor (column D) first. The Settlement ID in column B writes itself from those two - do not type it.
2. Gross receipts (E), Processor fees (F), Refunds and chargebacks (G), Other adjustments (H). Net deposit in column I is calculated.
3. Linked Txn ID (column J) - the ledger row for the deposit as the bank shows it, which is the NET figure. Column K pulls that amount back so the two can be compared.
YOU ARE DONE when Tie-out status (M) reads 'Tied out' and Difference (L) reads 0.00.
Until it does, that settlement contributes ZERO revenue and ZERO fees - not an error message, just nothing. An untied settlement is money missing from your revenue, so the Dashboard counts it under THINGS THAT NEED YOUR ATTENTION.
WORKED EXAMPLE. The processor deposits 1,900.00. Gross receipts were 2,000.00, its fee 60.00, and a customer refund 40.00. Enter 2,000.00 / 60.00 / 40.00 and link the 1,900.00 deposit row. Net deposit reads 1,900.00, Difference 0.00, and the month reports 1,960.00 of revenue and 60.00 of processing fees.</t>
  </si>
  <si>
    <t>Settlement ID</t>
  </si>
  <si>
    <t>Processor</t>
  </si>
  <si>
    <t>Gross receipts</t>
  </si>
  <si>
    <t>Processor fees</t>
  </si>
  <si>
    <t>Refunds &amp;
chargebacks</t>
  </si>
  <si>
    <t>Other adjustments</t>
  </si>
  <si>
    <t>Net deposit
(calc)</t>
  </si>
  <si>
    <t>Linked Txn ID</t>
  </si>
  <si>
    <t>Bank amount</t>
  </si>
  <si>
    <t>Difference</t>
  </si>
  <si>
    <t>Tie-out status</t>
  </si>
  <si>
    <t>Revenue impact</t>
  </si>
  <si>
    <t>Fee impact</t>
  </si>
  <si>
    <t>STOP - END OF THE SETTLEMENTS AREA. Row 107 is the last usable row. Cells below this line are locked on purpose: anything typed there would look fine but would be invisible to every report. If you are out of room, contact Powell United before continuing.</t>
  </si>
  <si>
    <t>Reports read rows 8 to 107 only. This counter is the whole story - if it says FULL, stop entering.</t>
  </si>
  <si>
    <t>TOTALS FOR THE YEAR</t>
  </si>
  <si>
    <t>TRANSFERS &amp; CREDIT CARD PAYMENTS</t>
  </si>
  <si>
    <t>Money moving between accounts you own. Categorized as a Transfer, which contributes no revenue and no deduction on either side.</t>
  </si>
  <si>
    <t>CREDIT CARD PAYMENTS WHEN YOU IMPORT BOTH STATEMENTS: the bank statement shows money OUT and the card statement shows money IN. Enter BOTH rows in Transactions - each account must tie to its own statement - and link them here. Both are categorized 'Credit Card Payment', which is a Transfer, so the payment is never counted as an expense. The expense was already recorded when you swiped the card.</t>
  </si>
  <si>
    <t>FILL THIS SHEET IN THIS ORDER - one row per movement between two accounts you own.
1. Date (column C), then From account (D) and To account (F) - both from the dropdown. Transfer ID in column B writes itself.
2. Amount out (E) and Amount in (G). They are separate on purpose: a card payment can post on different days at each end, and a wire can arrive net of a fee.
3. Out Txn ID (H) and In Txn ID (I) - the two ledger rows, one from each account. BOTH are required.
YOU ARE DONE when Match status (J) reads 'Matched'. 'UNMATCHED - review' means one side is missing, mislinked, or the amounts disagree.
If you only import one of the two accounts, you will only have one ledger row - link the side you have and note it in column K.
WORKED EXAMPLE. You pay 500.00 off the business card from checking. Checking shows 500.00 out, the card shows 500.00 in. Enter both, link both, and Match status reads 'Matched'. Neither side is income and neither is a deduction - the deduction happened when you spent on the card.</t>
  </si>
  <si>
    <t>Transfer ID</t>
  </si>
  <si>
    <t>From account</t>
  </si>
  <si>
    <t>Amount out</t>
  </si>
  <si>
    <t>To account</t>
  </si>
  <si>
    <t>Amount in</t>
  </si>
  <si>
    <t>Out Txn ID</t>
  </si>
  <si>
    <t>In Txn ID</t>
  </si>
  <si>
    <t>Match status</t>
  </si>
  <si>
    <t>STOP - END OF THE TRANSFERS AREA. Row 108 is the last usable row. Cells below this line are locked on purpose: anything typed there would look fine but would be invisible to every report. If you are out of room, contact Powell United before continuing.</t>
  </si>
  <si>
    <t>Reports read rows 9 to 108 only. This counter is the whole story - if it says FULL, stop entering.</t>
  </si>
  <si>
    <t>Transfers still unmatched</t>
  </si>
  <si>
    <t>PAYROLL ALLOCATION</t>
  </si>
  <si>
    <t>Breaks a pay run into its parts. Organizes payroll summary data only - it does not replace your payroll reports, reconcile payroll liabilities, or substitute for professional accounting review.</t>
  </si>
  <si>
    <t>YOU CANNOT COMPLETE THIS SHEET FROM YOUR BANK STATEMENT. Open your payroll provider's report for the pay run. The debit that left your bank is usually NET pay, not gross, and the tax debit mixes the employee's withholding with your employer share - neither figure is on the statement. The identity that has to hold is: TOTAL PAYROLL CASH = GROSS WAGES + EMPLOYER TAXES.</t>
  </si>
  <si>
    <t>The whole payroll withdrawal is NOT wages. Employee withholdings are already inside gross wages, so components marked 'informational' are never added to expected cash - adding them is the classic double count. Withdrawal rows in Transactions stay categorized 'Payroll Cash Movement', which is clearing and deducts nothing; the deductible expense comes from this sheet. THAT INCLUDES THE TAX DEBIT: the rules file a descriptor like GUSTO TAX as Employer Payroll Taxes, which IS deductible, and that is right for anyone not using this sheet. If you ARE using this sheet and the pay run already has an employer-tax component, change that ledger row to 'Payroll Cash Movement' or the same tax is deducted twice. The Dashboard counts it: 'Linked payroll rows that are not clearing'.</t>
  </si>
  <si>
    <t>FILL THIS SHEET IN THIS ORDER - and you need your payroll provider's report open, not your bank statement. The six steps, the finished test and a worked example are BELOW THE ENTRY GRID, under HOW TO FILL THIS SHEET - scroll past the last data row.</t>
  </si>
  <si>
    <t>Pay run ID</t>
  </si>
  <si>
    <t>Pay date</t>
  </si>
  <si>
    <t>Component</t>
  </si>
  <si>
    <t>Amount</t>
  </si>
  <si>
    <t>Counts as cash?</t>
  </si>
  <si>
    <t>Operating
expense?</t>
  </si>
  <si>
    <t>STOP - END OF THE PAYROLL COMPONENT AREA. Row 207 is the last usable row. Cells below this line are locked on purpose: anything typed there would look fine but would be invisible to every report. If you are out of room, contact Powell United before continuing.</t>
  </si>
  <si>
    <t>Reports read rows 8 to 207 only. This counter is the whole story - if it says FULL, stop entering.</t>
  </si>
  <si>
    <t>HOW TO FILL THIS SHEET - IN THIS ORDER</t>
  </si>
  <si>
    <t>FILL THIS SHEET IN THIS ORDER - and you need your payroll provider's report open, not your bank statement.
1. One row per component, starting at row 8. Same Pay run ID (column B) on every row of the same run - type it identically each time.
2. Pay date (column C) on EVERY component row. It is not optional: leave it blank and this pay run vanishes from the month grid on the Dashboard while still counting in the totals above it.
3. Component (column D) - pick from the list. If you are an S corporation paying yourself, use the two OWNER / SHAREHOLDER lines for your own wages, not the Staff lines. The totals come out the same either way, so nothing will look wrong - but the CPA Handoff will report your shareholder wages as zero.
4. Amount (column E). Columns F and G fill themselves and tell you whether that component is cash and whether it is deductible.
5. Linked Txn ID (column H) - the ledger row for the money that actually left the bank. Usually two rows: the net pay debit and the tax debit. Link both.
6. NOW SCROLL DOWN to PAY RUN TIE-OUT and enter the same Pay run ID there. This is a separate step and the sheet does nothing until you do it.
YOU ARE DONE when the tie-out Status reads 'Tied out' and Difference reads 0.00. Any other message names what is missing - read it rather than adjusting an amount to make the difference disappear.
WORKED EXAMPLE. Your bank shows two debits: 3,900.00 net pay and 1,100.00 tax, so 5,000.00 of cash left. Your provider's report says gross wages 4,650.00, employee withholding 750.00, employer taxes 350.00. Enter gross wages 4,650.00 and employer taxes 350.00 - they sum to 5,000.00 and match the cash. Do NOT enter the 750.00 withholding as cash: it is already inside the 4,650.00, and adding it is the double count this sheet exists to prevent.</t>
  </si>
  <si>
    <t>COMPONENT REFERENCE - HOW EACH PART IS TREATED</t>
  </si>
  <si>
    <t>If this business is an S corporation, the owner's own wages go on the two OWNER / SHAREHOLDER lines - even when the owner is the only person on payroll. The total is the same either way, so nothing will look wrong if you get this backwards. Only the CPA Handoff knows.</t>
  </si>
  <si>
    <t>Why</t>
  </si>
  <si>
    <t>Owner / shareholder gross wages</t>
  </si>
  <si>
    <t>Yes</t>
  </si>
  <si>
    <t>The owner's OWN W-2 wages. For a solo S corporation, the whole pay run.</t>
  </si>
  <si>
    <t>Owner / shareholder employer taxes</t>
  </si>
  <si>
    <t>The employer share on the owner's wages only.</t>
  </si>
  <si>
    <t>Staff gross wages</t>
  </si>
  <si>
    <t>Wages of employees other than the owner.</t>
  </si>
  <si>
    <t>Staff employer taxes</t>
  </si>
  <si>
    <t>Employer share on staff wages only.</t>
  </si>
  <si>
    <t>Employer benefits</t>
  </si>
  <si>
    <t>Employer share of staff health and other benefits.</t>
  </si>
  <si>
    <t>Employer retirement contributions</t>
  </si>
  <si>
    <t>Employer match or contribution for staff.</t>
  </si>
  <si>
    <t>Payroll service fees</t>
  </si>
  <si>
    <t>Processing fees charged by the payroll provider.</t>
  </si>
  <si>
    <t>Employee expense reimbursements</t>
  </si>
  <si>
    <t>Not wages. A business expense if substantiated.</t>
  </si>
  <si>
    <t>Employee withholdings (informational)</t>
  </si>
  <si>
    <t>No</t>
  </si>
  <si>
    <t>Already inside gross wages. Shown for completeness; never added again.</t>
  </si>
  <si>
    <t>Employee benefit deductions (informational)</t>
  </si>
  <si>
    <t>Already inside gross wages.</t>
  </si>
  <si>
    <t>Employee retirement deferral (informational)</t>
  </si>
  <si>
    <t>Other payroll cash movement</t>
  </si>
  <si>
    <t>Not classified. Flagged for review; excluded from operating expense.</t>
  </si>
  <si>
    <t>PAY RUN TIE-OUT</t>
  </si>
  <si>
    <t>Pay date
(from components)</t>
  </si>
  <si>
    <t>Expected cash</t>
  </si>
  <si>
    <t>Withdrawals linked</t>
  </si>
  <si>
    <t>Operating expense</t>
  </si>
  <si>
    <t>Status</t>
  </si>
  <si>
    <t>STOP - END OF THE PAY RUN AREA. Row 253 is the last usable row. Cells below this line are locked on purpose: anything typed there would look fine but would be invisible to every report. If you are out of room, contact Powell United before continuing.</t>
  </si>
  <si>
    <t>Reports read rows 234 to 253 only. This counter is the whole story - if it says FULL, stop entering.</t>
  </si>
  <si>
    <t>of which OWNER / SHAREHOLDER gross wages</t>
  </si>
  <si>
    <t>Reasonable compensation is tested on this figure alone. For a solo S corporation it should equal the whole pay run.</t>
  </si>
  <si>
    <t>of which OWNER / SHAREHOLDER employer taxes</t>
  </si>
  <si>
    <t>MILEAGE LOG</t>
  </si>
  <si>
    <t>The rate is chosen automatically from the trip date. 2026 has TWO business rates because the IRS revised them mid-year.</t>
  </si>
  <si>
    <t>COMMUTING: home to your primary office is not deductible. Office to hospital, office to a second site, office to a patient's home, office to a conference - those are. The IRS expects a contemporaneous log, so record trips as you take them. Use this OR actual vehicle expenses for a given vehicle, never both.</t>
  </si>
  <si>
    <t>Business purpose (who and why)</t>
  </si>
  <si>
    <t>From</t>
  </si>
  <si>
    <t>To</t>
  </si>
  <si>
    <t>Miles</t>
  </si>
  <si>
    <t>Rate
applied</t>
  </si>
  <si>
    <t>Deduction</t>
  </si>
  <si>
    <t>Rate period</t>
  </si>
  <si>
    <t>STOP - END OF THE MILEAGE LOG AREA. Row 307 is the last usable row. Cells below this line are locked on purpose: anything typed there would look fine but would be invisible to every report. If you are out of room, contact Powell United before continuing.</t>
  </si>
  <si>
    <t>Reports read rows 8 to 307 only. This counter is the whole story - if it says FULL, stop entering.</t>
  </si>
  <si>
    <t>TOTAL BUSINESS MILES / DEDUCTION</t>
  </si>
  <si>
    <t xml:space="preserve">  of which mileage_business_h1</t>
  </si>
  <si>
    <t xml:space="preserve">  of which mileage_business_h2</t>
  </si>
  <si>
    <t>RECONCILIATION - ONE ROW PER ACCOUNT PER PERIOD</t>
  </si>
  <si>
    <t>Every account reconciles on its own. Balances from unrelated accounts are never combined into a single result.</t>
  </si>
  <si>
    <t>FILL THIS SHEET IN THIS ORDER - one row per account per statement period. Never combine accounts.
1. Account (column B) from the dropdown, then Type (C).
2. Period start (D) and Period end (E) - the statement's dates, not the calendar month, if they differ.
3. From the statement itself: Beginning balance (F), Ending balance (G), Total deposits (H), Total withdrawals (I). All four come off the statement. Type nothing in J, K, L, M or N - those are the workbook's side of the comparison.
YOU ARE DONE when Status (N) reads 'Reconciled' and Difference (M) reads 0.00.
'OUT OF BALANCE' means your ledger and your statement disagree. The cause is almost always in the ledger, not here: a missing row, a duplicated row, or an amount typed wrong. Fix it in '6. Transactions' and this sheet will follow. Do not adjust a statement figure to close the gap - that hides the very thing this sheet is for.</t>
  </si>
  <si>
    <t>Credit cards use inverted sign logic automatically: a charge (Money Out) increases what you owe, a payment (Money In) reduces it. Enter credit card balances as POSITIVE amounts owed - both the beginning and the ending figure.</t>
  </si>
  <si>
    <t>WORKED EXAMPLE: beginning owed $800, plus a $100 charge, less a $250 payment = $650 ending owed. Enter 800 in Statement beginning and 650 in Statement ending. Computed ending should then read $650 and Difference should read 0.00.</t>
  </si>
  <si>
    <t>Period start</t>
  </si>
  <si>
    <t>Period end</t>
  </si>
  <si>
    <t>Statement
beginning</t>
  </si>
  <si>
    <t>Statement ending</t>
  </si>
  <si>
    <t>Book deposits</t>
  </si>
  <si>
    <t>Book withdrawals</t>
  </si>
  <si>
    <t>Computed ending</t>
  </si>
  <si>
    <t>STOP - END OF THE RECONCILIATION AREA. Row 67 is the last usable row. Cells below this line are locked on purpose: anything typed there would look fine but would be invisible to every report. If you are out of room, contact Powell United before continuing.</t>
  </si>
  <si>
    <t>Reports read rows 8 to 67 only. This counter is the whole story - if it says FULL, stop entering.</t>
  </si>
  <si>
    <t>Periods not reconciled</t>
  </si>
  <si>
    <t>DASHBOARD</t>
  </si>
  <si>
    <t>Everything here is calculated. Operating results combine the ledger with the Settlements and Payroll Allocation sheets. Check the counters on the right before you rely on any figure here.</t>
  </si>
  <si>
    <t>OPERATING RESULTS FOR THE YEAR</t>
  </si>
  <si>
    <t>EXCLUDED FROM OPERATING PROFIT - ON PURPOSE</t>
  </si>
  <si>
    <t>THINGS THAT NEED YOUR ATTENTION</t>
  </si>
  <si>
    <t>Operating revenue - from the ledger</t>
  </si>
  <si>
    <t>Non-operating income (e.g. interest)</t>
  </si>
  <si>
    <t>Transactions entered</t>
  </si>
  <si>
    <t>Operating revenue - settlements (gross less refunds)</t>
  </si>
  <si>
    <t>Transfers between your accounts</t>
  </si>
  <si>
    <t>NEEDS FIXING - every line should read zero</t>
  </si>
  <si>
    <t>TOTAL OPERATING REVENUE</t>
  </si>
  <si>
    <t>Owner draws and contributions</t>
  </si>
  <si>
    <t>Uncategorized rows</t>
  </si>
  <si>
    <t>Operating expenses - from the ledger</t>
  </si>
  <si>
    <t>Owner-level tax items</t>
  </si>
  <si>
    <t>Rows with no account</t>
  </si>
  <si>
    <t>Operating expenses - processor fees</t>
  </si>
  <si>
    <t>Clearing (settlements, payroll, loans)</t>
  </si>
  <si>
    <t>Rows with no date</t>
  </si>
  <si>
    <t>Operating expenses - payroll allocation</t>
  </si>
  <si>
    <t>Review Required - not deductible</t>
  </si>
  <si>
    <t>Linked payroll rows that are not clearing</t>
  </si>
  <si>
    <t>TOTAL OPERATING EXPENSES</t>
  </si>
  <si>
    <t>Uncategorized - not deductible</t>
  </si>
  <si>
    <t>Payroll components with no pay date</t>
  </si>
  <si>
    <t>OPERATING PROFIT</t>
  </si>
  <si>
    <t>Vehicle deduction (mileage log)</t>
  </si>
  <si>
    <t>Payroll components not recognised</t>
  </si>
  <si>
    <t>Operating margin</t>
  </si>
  <si>
    <t>Each of these is reported separately on the CPA Handoff tab, never inside operating profit.</t>
  </si>
  <si>
    <t>Rows dated outside the tax year</t>
  </si>
  <si>
    <t>Account periods out of balance</t>
  </si>
  <si>
    <t>Settlements not tied out</t>
  </si>
  <si>
    <t>Pay runs not tied out</t>
  </si>
  <si>
    <t>Transfers unmatched</t>
  </si>
  <si>
    <t>Staged rows not admissible</t>
  </si>
  <si>
    <t>Rows with a Business % outside 0-100%</t>
  </si>
  <si>
    <t>Top block vs month grid difference</t>
  </si>
  <si>
    <t>Clearing rows missing their detail</t>
  </si>
  <si>
    <t>S corporation with no owner wages recorded</t>
  </si>
  <si>
    <t>P&amp;L does not tie to the Dashboard</t>
  </si>
  <si>
    <t>A zero here means that check found nothing wrong - not that your books are right. NOT STARTED means the check has not run because that sheet is empty. Read every line before you hand anything to your accountant.</t>
  </si>
  <si>
    <t>IN PROGRESS - a number here is normal</t>
  </si>
  <si>
    <t>Review Required rows</t>
  </si>
  <si>
    <t>Staged rows ready but not yet posted</t>
  </si>
  <si>
    <t>These are NOT faults and are never shown in red. Parking a row you are unsure about is the RIGHT action and belongs here - a correctly finished workbook usually still has numbers in this block. Never clear one by picking a category that looks close enough: nothing above will catch it.</t>
  </si>
  <si>
    <t>MONTH BY MONTH</t>
  </si>
  <si>
    <t>Month</t>
  </si>
  <si>
    <t>Revenue</t>
  </si>
  <si>
    <t>Expenses</t>
  </si>
  <si>
    <t>Profit</t>
  </si>
  <si>
    <t>This grid and the totals at the top of the sheet are BOTH limited to your tax year, so they should agree. If they do not, the counter 'Top block vs month grid difference' above shows by how much. A row dated outside the year is excluded from both and counted separately above.</t>
  </si>
  <si>
    <t>FULL YEAR</t>
  </si>
  <si>
    <t>TAX PLANNING INPUTS / CPA HANDOFF</t>
  </si>
  <si>
    <t>What your accountant needs from your books. This sheet reports; it does not conclude.</t>
  </si>
  <si>
    <t>THIS WORKBOOK DOES NOT CALCULATE TAX. It does not estimate a quarterly payment, self-employment tax, or any liability, for any entity type. Those are professional judgements that depend on facts a bookkeeping file cannot see - your other income, your spouse, your prior return, your entity's elections. What follows are inputs, clearly labelled, for a tax professional to work from.</t>
  </si>
  <si>
    <t>OPERATING RESULTS</t>
  </si>
  <si>
    <t>Total operating revenue</t>
  </si>
  <si>
    <t>Total operating expenses</t>
  </si>
  <si>
    <t>Operating profit</t>
  </si>
  <si>
    <t>REPORTED SEPARATELY - NOT IN OPERATING PROFIT</t>
  </si>
  <si>
    <t>Owner-level items (owner health insurance, retirement)</t>
  </si>
  <si>
    <t>Owner draws / distributions</t>
  </si>
  <si>
    <t>Owner contributions / capital in</t>
  </si>
  <si>
    <t>Loan principal paid (not deductible)</t>
  </si>
  <si>
    <t>STILL NEEDS A DECISION</t>
  </si>
  <si>
    <t>Review Required - total payments</t>
  </si>
  <si>
    <t>Review Required - count</t>
  </si>
  <si>
    <t>Uncategorized - total payments</t>
  </si>
  <si>
    <t>Uncategorized - total deposits</t>
  </si>
  <si>
    <t>Uncategorized - count</t>
  </si>
  <si>
    <t>HOME OFFICE - COLLECTED, NEVER CALCULATED</t>
  </si>
  <si>
    <t>Business-use percentage of the home</t>
  </si>
  <si>
    <t>Your accountant applies the limits and chooses the method. No deduction is calculated here.</t>
  </si>
  <si>
    <t>MILEAGE BY EFFECTIVE-RATE PERIOD</t>
  </si>
  <si>
    <t>2026 has two business mileage rates. Totals are split by the rate that applied on the trip date, because your accountant needs them separately.</t>
  </si>
  <si>
    <t>Period</t>
  </si>
  <si>
    <t>Deduction at that rate</t>
  </si>
  <si>
    <t>1 Jan - 30 Jun 2026</t>
  </si>
  <si>
    <t>1 Jul - 31 Dec 2026</t>
  </si>
  <si>
    <t>Total</t>
  </si>
  <si>
    <t>PAYROLL AND CONTRACTOR TOTALS</t>
  </si>
  <si>
    <t>Payroll - operating expense from allocation</t>
  </si>
  <si>
    <t>Payroll - cash withdrawn (linked)</t>
  </si>
  <si>
    <t xml:space="preserve">  of which OWNER / SHAREHOLDER wages</t>
  </si>
  <si>
    <t xml:space="preserve">  of which OWNER / SHAREHOLDER employer taxes</t>
  </si>
  <si>
    <t>Contract labor / 1099 providers paid</t>
  </si>
  <si>
    <t>Locum tenens coverage paid</t>
  </si>
  <si>
    <t>Legal fees paid (attorney rules may apply)</t>
  </si>
  <si>
    <t>INFORMATION RETURNS - WHAT WE CAN AND CANNOT TELL YOU</t>
  </si>
  <si>
    <t>This workbook does NOT decide whether you must issue an information return. That depends on the payee's entity type, how you paid them, and what the payment was for - none of which live in a bank feed. Below are the 2026 thresholds and the exceptions that matter most to healthcare businesses. Use it to build a list of payees to discuss, not to reach a conclusion.</t>
  </si>
  <si>
    <t>Nonemployee compensation (1099-NEC box 1a)</t>
  </si>
  <si>
    <t>Medical &amp; health care payments (1099-MISC box 6)</t>
  </si>
  <si>
    <t>Attorney fees for services (1099-NEC box 1a)</t>
  </si>
  <si>
    <t>Attorney gross proceeds (1099-MISC box 10)</t>
  </si>
  <si>
    <t>-  Paid by credit card, debit card or a third-party network? Then the settlement company reports it on a 1099-K and you generally do NOT report it - regardless of the amount.</t>
  </si>
  <si>
    <t>-  Payments to corporations are generally exempt - BUT medical and health care payments and attorney payments are NOT exempt. For a healthcare business this exception is the rule that bites.</t>
  </si>
  <si>
    <t>-  Attorney gross proceeds use a different, lower threshold than attorney fees. One dollar figure never answers the whole question.</t>
  </si>
  <si>
    <t>-  Get a W-9 before you pay someone, not in January. It is the only reliable way to know the payee's entity type.</t>
  </si>
  <si>
    <t>Payees to discuss with your accountant</t>
  </si>
  <si>
    <t>Payee name</t>
  </si>
  <si>
    <t>What they provided</t>
  </si>
  <si>
    <t>Total paid</t>
  </si>
  <si>
    <t>W-9 on file?</t>
  </si>
  <si>
    <t>WHAT WE DELIBERATELY DID NOT DO</t>
  </si>
  <si>
    <t>-  No estimated quarterly tax, self-employment tax, or income tax was calculated.</t>
  </si>
  <si>
    <t>-  The meals limitation was not applied - meal totals are shown in full.</t>
  </si>
  <si>
    <t>-  No depreciation was calculated. Equipment purchases are flagged, not capitalized.</t>
  </si>
  <si>
    <t>-  The home office deduction was not calculated. Square footage is recorded on Setup.</t>
  </si>
  <si>
    <t>-  The qualified business income deduction was not modelled.</t>
  </si>
  <si>
    <t>-  Owner health insurance and owner retirement were kept out of operating profit and reported separately, because deductibility is tested at the owner level.</t>
  </si>
  <si>
    <t>Powell United Financial Services provides tax projections, conclusions and payment recommendations as a professional engagement. admin@powellunited.com</t>
  </si>
  <si>
    <t>PROFIT &amp; LOSS</t>
  </si>
  <si>
    <t>Operating revenue and expenses for the tax year, grouped by the tax line each category is mapped to - twelve months and a year-to-date column, from the same ledger the Dashboard reads.</t>
  </si>
  <si>
    <t>WHERE THE LINE NUMBERS COME FROM. Each category's tax line is carried from the handoff note written for that category, not from a review of your return. It has not been confirmed for use on a statement, and some categories still have no line on either form. Treat the grouping as a starting point for your accountant, not as a filing position.</t>
  </si>
  <si>
    <t>Tax line</t>
  </si>
  <si>
    <t>Line caption / category</t>
  </si>
  <si>
    <t>YEAR TO DATE</t>
  </si>
  <si>
    <t>OPERATING REVENUE</t>
  </si>
  <si>
    <t>Card settlements - gross takings less refunds</t>
  </si>
  <si>
    <t>OPERATING EXPENSES - BY TAX LINE</t>
  </si>
  <si>
    <t>Payment processor fees (from Settlements)</t>
  </si>
  <si>
    <t>PAYROLL FROM THE ALLOCATION SHEET</t>
  </si>
  <si>
    <t>Only pay runs TIED OUT on sheet 9 appear here - the same rule the Dashboard applies. An untied run contributes zero to every figure below, and sheet 9 names it rather than dropping it silently.</t>
  </si>
  <si>
    <t>TIE-OUT TO THE DASHBOARD</t>
  </si>
  <si>
    <t>This sheet rebuilds both totals CATEGORY BY CATEGORY, while the Dashboard sums whole columns. Two routes to one number, so a category left out of the grouping, listed twice, or added without a treatment shows up here as a difference instead of passing unnoticed.</t>
  </si>
  <si>
    <t>Figure</t>
  </si>
  <si>
    <t>This sheet</t>
  </si>
  <si>
    <t>Dashboard</t>
  </si>
  <si>
    <t>WHAT THIS STATEMENT IS</t>
  </si>
  <si>
    <t>A management profit and loss built from your own ledger, grouped by the tax line each category is mapped to. It is NOT a tax return, not a filing position, and not a financial statement prepared under any reporting framework. Your accountant decides what belongs on which line.</t>
  </si>
  <si>
    <t>WHAT IS LEFT OUT ON PURPOSE</t>
  </si>
  <si>
    <t>Owner draws and contributions, transfers between your own accounts, loan principal, and owner-level tax items are excluded, because none of them is an operating result. They are still recorded in the ledger and still shown on the Dashboard. Depreciation, home-office and vehicle deductions are not here either - those are calculated on the return, not in bookkeeping.</t>
  </si>
  <si>
    <t>WHAT MUST BE TRUE BEFORE YOU RELY ON THIS</t>
  </si>
  <si>
    <t>Every account reconciled for the period, every pay run tied out, no rows left in Review Required, and the tie-out above showing three green lines. The Dashboard counters say whether all four hold. A statement built on unreconciled books is tidy, not correct.</t>
  </si>
  <si>
    <t>CATEGORIES</t>
  </si>
  <si>
    <t>Every category maps to exactly one reporting treatment. Reports filter on TREATMENT, never on category name - so renaming a category cannot change how it is reported.</t>
  </si>
  <si>
    <t>Only 'Operating Expense' produces a deductible amount. Uncategorized, Review Required, Transfer, Owner and Clearing all produce zero.</t>
  </si>
  <si>
    <t>Category</t>
  </si>
  <si>
    <t>Group</t>
  </si>
  <si>
    <t>What belongs here / handoff note</t>
  </si>
  <si>
    <t>Schedule C
line</t>
  </si>
  <si>
    <t>Form 1120S
line</t>
  </si>
  <si>
    <t>WHAT THE DROPDOWNS SHOW</t>
  </si>
  <si>
    <t>Patient Fees - Insurance Reimbursement</t>
  </si>
  <si>
    <t>Operating Revenue</t>
  </si>
  <si>
    <t>Payer deposits. If received through a processor, record the settlement instead.</t>
  </si>
  <si>
    <t>&gt;&gt;&gt;  NOT SURE?  PARK IT HERE  &lt;&lt;&lt;</t>
  </si>
  <si>
    <t>Patient Fees - Self-Pay</t>
  </si>
  <si>
    <t>Cash, check or card paid directly by the patient.</t>
  </si>
  <si>
    <t>Review Required - Mixed-Use Vendor</t>
  </si>
  <si>
    <t>Copays &amp; Deductibles Collected</t>
  </si>
  <si>
    <t>Front-desk collections.</t>
  </si>
  <si>
    <t>Review Required - Depends on Entity Type</t>
  </si>
  <si>
    <t>Medicare / Medicaid Reimbursement</t>
  </si>
  <si>
    <t>Includes state Medicaid and Medicare Advantage.</t>
  </si>
  <si>
    <t>Review Required - Other</t>
  </si>
  <si>
    <t>Capitation / Value-Based Payments</t>
  </si>
  <si>
    <t>PMPM, shared savings, quality bonuses.</t>
  </si>
  <si>
    <t>Uncategorized - NEEDS REVIEW</t>
  </si>
  <si>
    <t>Locum Tenens / Moonlighting Income</t>
  </si>
  <si>
    <t>1099 shifts worked by the owner.</t>
  </si>
  <si>
    <t>Uncategorized Deposit - NEEDS REVIEW</t>
  </si>
  <si>
    <t>IME / Expert Witness / Legal Consulting</t>
  </si>
  <si>
    <t>Independent medical exams, chart reviews, depositions.</t>
  </si>
  <si>
    <t>---  REVENUE  ---</t>
  </si>
  <si>
    <t>Medical Directorship / Stipends</t>
  </si>
  <si>
    <t>Facility medical director pay, call stipends.</t>
  </si>
  <si>
    <t>Speaking, Teaching &amp; Honoraria</t>
  </si>
  <si>
    <t>Product &amp; Retail Sales</t>
  </si>
  <si>
    <t>Supplements, eyewear, orthotics, DME.</t>
  </si>
  <si>
    <t>Cosmetic / Elective Cash Services</t>
  </si>
  <si>
    <t>Grants &amp; Incentive Programs</t>
  </si>
  <si>
    <t>Quality/EHR incentive payments, public health grants.</t>
  </si>
  <si>
    <t>Patient Refunds Issued</t>
  </si>
  <si>
    <t>NEGATIVE revenue. Enter as Money Out; reduces operating revenue.</t>
  </si>
  <si>
    <t>Other Operating Income</t>
  </si>
  <si>
    <t>Interest Income</t>
  </si>
  <si>
    <t>Non-Operating Income</t>
  </si>
  <si>
    <t>Non-Operating</t>
  </si>
  <si>
    <t>NOT business operating income and NOT self-employment income. Reported separately.</t>
  </si>
  <si>
    <t>Other Non-Operating Income</t>
  </si>
  <si>
    <t>Reported separately from operating results. Confirm treatment with your CPA.</t>
  </si>
  <si>
    <t>Medical &amp; Clinical Supplies</t>
  </si>
  <si>
    <t>Operating Expense</t>
  </si>
  <si>
    <t>Clinical</t>
  </si>
  <si>
    <t>Sch C Line 22 - Supplies</t>
  </si>
  <si>
    <t>22</t>
  </si>
  <si>
    <t>20</t>
  </si>
  <si>
    <t>Dental Supplies &amp; Lab Fees</t>
  </si>
  <si>
    <t>Optical Frames, Lenses &amp; Lab</t>
  </si>
  <si>
    <t>May be inventory rather than supplies. Confirm with your CPA.</t>
  </si>
  <si>
    <t>Pharmaceuticals, Vaccines &amp; Injectables</t>
  </si>
  <si>
    <t>Sch C Line 22</t>
  </si>
  <si>
    <t>Laboratory &amp; Imaging Fees (Outside)</t>
  </si>
  <si>
    <t>Sch C Line 27b</t>
  </si>
  <si>
    <t>27b</t>
  </si>
  <si>
    <t>Medical Equipment (Small / Under Threshold)</t>
  </si>
  <si>
    <t>Items above your capitalization threshold must be depreciated - flag for CPA.</t>
  </si>
  <si>
    <t>---  NON-OPERATING  ---</t>
  </si>
  <si>
    <t>Equipment Lease &amp; Maintenance</t>
  </si>
  <si>
    <t>Sch C Line 20a</t>
  </si>
  <si>
    <t>20a</t>
  </si>
  <si>
    <t>Medical Waste &amp; Sharps Disposal</t>
  </si>
  <si>
    <t>Sterilization &amp; Infection Control</t>
  </si>
  <si>
    <t>---  CLINICAL  ---</t>
  </si>
  <si>
    <t>Uniforms, Scrubs &amp; Linens</t>
  </si>
  <si>
    <t>Deductible only if not suitable for everyday wear.</t>
  </si>
  <si>
    <t>Rent - Office / Clinic</t>
  </si>
  <si>
    <t>Facility</t>
  </si>
  <si>
    <t>Sch C Line 20b</t>
  </si>
  <si>
    <t>20b</t>
  </si>
  <si>
    <t>Utilities</t>
  </si>
  <si>
    <t>Sch C Line 25</t>
  </si>
  <si>
    <t>25</t>
  </si>
  <si>
    <t>Telephone &amp; Internet</t>
  </si>
  <si>
    <t>Set Business % below 100 if a personal line is included.</t>
  </si>
  <si>
    <t>Janitorial &amp; Facilities Services</t>
  </si>
  <si>
    <t>Repairs &amp; Maintenance</t>
  </si>
  <si>
    <t>Sch C Line 21</t>
  </si>
  <si>
    <t>21</t>
  </si>
  <si>
    <t>Office Supplies &amp; Printing</t>
  </si>
  <si>
    <t>Sch C Line 18</t>
  </si>
  <si>
    <t>18</t>
  </si>
  <si>
    <t>Postage &amp; Shipping</t>
  </si>
  <si>
    <t>Answering Service / After-Hours Coverage</t>
  </si>
  <si>
    <t>EHR / Practice Management Software</t>
  </si>
  <si>
    <t>Technology &amp; Billing</t>
  </si>
  <si>
    <t>Billing &amp; Clearinghouse Fees</t>
  </si>
  <si>
    <t>---  FACILITY  ---</t>
  </si>
  <si>
    <t>Merchant Processing Fees</t>
  </si>
  <si>
    <t>Normally captured on the Settlements sheet, not entered directly.</t>
  </si>
  <si>
    <t>Telehealth Platform</t>
  </si>
  <si>
    <t>IT Support &amp; Cybersecurity</t>
  </si>
  <si>
    <t>HIPAA Compliance &amp; Secure Communications</t>
  </si>
  <si>
    <t>Software &amp; Subscriptions (General)</t>
  </si>
  <si>
    <t>Wages - Clinical Staff</t>
  </si>
  <si>
    <t>People</t>
  </si>
  <si>
    <t>Normally captured on the Payroll Allocation sheet, not entered directly.</t>
  </si>
  <si>
    <t>Wages - Administrative Staff</t>
  </si>
  <si>
    <t>Employer Payroll Taxes</t>
  </si>
  <si>
    <t>Sch C Line 23</t>
  </si>
  <si>
    <t>23</t>
  </si>
  <si>
    <t>Payroll Service Fees</t>
  </si>
  <si>
    <t>Sch C Line 17</t>
  </si>
  <si>
    <t>17</t>
  </si>
  <si>
    <t>---  TECHNOLOGY &amp; BILLING  ---</t>
  </si>
  <si>
    <t>Employee Benefits &amp; Health Insurance</t>
  </si>
  <si>
    <t>STAFF benefits only. Owner premiums are an owner-level item.</t>
  </si>
  <si>
    <t>Employer Retirement Contributions - Staff</t>
  </si>
  <si>
    <t>STAFF only. Owner contributions are an owner-level item.</t>
  </si>
  <si>
    <t>Contract Labor / 1099 Providers</t>
  </si>
  <si>
    <t>Track payee, entity type and payment method for information-return purposes.</t>
  </si>
  <si>
    <t>Locum Tenens Coverage Paid</t>
  </si>
  <si>
    <t>Usually an information-return payee. Medical payment rules may apply.</t>
  </si>
  <si>
    <t>Staff Training, Recruiting &amp; Credentialing</t>
  </si>
  <si>
    <t>Malpractice Insurance</t>
  </si>
  <si>
    <t>Professional &amp; Compliance</t>
  </si>
  <si>
    <t>Sch C Line 15</t>
  </si>
  <si>
    <t>Business Insurance (General / Property / Cyber)</t>
  </si>
  <si>
    <t>Workers' Compensation Insurance</t>
  </si>
  <si>
    <t>---  PEOPLE  ---</t>
  </si>
  <si>
    <t>Professional Licenses - State Board</t>
  </si>
  <si>
    <t>DEA Registration &amp; Controlled Substance Fees</t>
  </si>
  <si>
    <t>Hospital Privileges &amp; Credentialing</t>
  </si>
  <si>
    <t>Professional Memberships &amp; Dues</t>
  </si>
  <si>
    <t>Continuing Education (CME / CE)</t>
  </si>
  <si>
    <t>Books, Journals &amp; Clinical References</t>
  </si>
  <si>
    <t>Legal Fees</t>
  </si>
  <si>
    <t>Attorney payments have their own information-return rules. See CPA Handoff.</t>
  </si>
  <si>
    <t>Accounting, Bookkeeping &amp; Tax Prep</t>
  </si>
  <si>
    <t>Consulting &amp; Practice Advisory</t>
  </si>
  <si>
    <t>Marketing &amp; Advertising</t>
  </si>
  <si>
    <t>Marketing</t>
  </si>
  <si>
    <t>Sch C Line 8</t>
  </si>
  <si>
    <t>16</t>
  </si>
  <si>
    <t>---  PROFESSIONAL &amp; COMPLIANCE  ---</t>
  </si>
  <si>
    <t>Website &amp; Hosting</t>
  </si>
  <si>
    <t>Patient Communications &amp; Reviews</t>
  </si>
  <si>
    <t>Referral &amp; Community Events</t>
  </si>
  <si>
    <t>Watch anti-kickback and Stark limits on anything of value to a referral source.</t>
  </si>
  <si>
    <t>Auto - Actual Expenses (Fuel, Repairs, Insurance)</t>
  </si>
  <si>
    <t>Travel &amp; Auto</t>
  </si>
  <si>
    <t>Use this OR the Mileage Log for a given vehicle - never both.</t>
  </si>
  <si>
    <t>Parking &amp; Tolls</t>
  </si>
  <si>
    <t>Deductible even when using the standard mileage method.</t>
  </si>
  <si>
    <t>Travel - Conferences &amp; Lodging</t>
  </si>
  <si>
    <t>Sch C Line 24a</t>
  </si>
  <si>
    <t>24a</t>
  </si>
  <si>
    <t>Meals - Business (limitation applies)</t>
  </si>
  <si>
    <t>A statutory percentage limitation applies. Full amount shown; applying the limit is your CPA's adjustment.</t>
  </si>
  <si>
    <t>Bank Fees &amp; Service Charges</t>
  </si>
  <si>
    <t>Financial</t>
  </si>
  <si>
    <t>Interest - Business Loans</t>
  </si>
  <si>
    <t>Sch C Line 16b</t>
  </si>
  <si>
    <t>16b</t>
  </si>
  <si>
    <t>Interest - Business Credit Cards</t>
  </si>
  <si>
    <t>Taxes &amp; Fees - Business</t>
  </si>
  <si>
    <t>Franchise tax, permits, business personal property tax.</t>
  </si>
  <si>
    <t>Processor Settlement Deposit</t>
  </si>
  <si>
    <t>Balance Sheet / Clearing</t>
  </si>
  <si>
    <t>Clearing</t>
  </si>
  <si>
    <t>Net deposit from a card processor. Expanded on the Settlements sheet; the ledger row itself is NOT revenue.</t>
  </si>
  <si>
    <t>Payroll Cash Movement</t>
  </si>
  <si>
    <t>Net pay, tax remittance or payroll fee. Expanded on the Payroll Allocation sheet; this ledger row is NOT an expense.</t>
  </si>
  <si>
    <t>---  MARKETING  ---</t>
  </si>
  <si>
    <t>Loan Principal Payment</t>
  </si>
  <si>
    <t>Reduces the loan balance. Not deductible. Interest is a separate category.</t>
  </si>
  <si>
    <t>Loan Proceeds Received</t>
  </si>
  <si>
    <t>Borrowed money is not income.</t>
  </si>
  <si>
    <t>Other Balance Sheet / Clearing</t>
  </si>
  <si>
    <t>Transfer Between Owned Accounts</t>
  </si>
  <si>
    <t>Transfer</t>
  </si>
  <si>
    <t>Transfers</t>
  </si>
  <si>
    <t>Your own money moving. Never revenue or expense.</t>
  </si>
  <si>
    <t>Credit Card Payment</t>
  </si>
  <si>
    <t>A transfer, not an expense. The expense was recorded when the card was charged.</t>
  </si>
  <si>
    <t>---  TRAVEL &amp; AUTO  ---</t>
  </si>
  <si>
    <t>Owner Draw / Distribution</t>
  </si>
  <si>
    <t>Owner Draw/Contribution</t>
  </si>
  <si>
    <t>Owner</t>
  </si>
  <si>
    <t>Money taken out. Never reduces profit.</t>
  </si>
  <si>
    <t>Owner Contribution / Capital In</t>
  </si>
  <si>
    <t>Money put in. Never increases profit.</t>
  </si>
  <si>
    <t>Owner Health Insurance</t>
  </si>
  <si>
    <t>Owner-Level Tax Item</t>
  </si>
  <si>
    <t>OWNER-LEVEL. Deducted on the owner's personal return, not operating profit. Limits apply that this file cannot test.</t>
  </si>
  <si>
    <t>Owner Retirement Contribution</t>
  </si>
  <si>
    <t>OWNER-LEVEL. Solo 401(k), SEP, defined benefit. Not an operating expense.</t>
  </si>
  <si>
    <t>Owner Personal / Non-Business</t>
  </si>
  <si>
    <t>Personal spending through a business account. Treated as a draw, never deductible.</t>
  </si>
  <si>
    <t>---  FINANCIAL  ---</t>
  </si>
  <si>
    <t>Review Required</t>
  </si>
  <si>
    <t>Review</t>
  </si>
  <si>
    <t>A broad vendor that sells both business and personal goods. Not deductible until you choose a real category.</t>
  </si>
  <si>
    <t>Treatment depends on your entity type. Not deductible until reviewed.</t>
  </si>
  <si>
    <t>Flagged for review. Not deductible until resolved.</t>
  </si>
  <si>
    <t>Uncategorized</t>
  </si>
  <si>
    <t>A payment the rule engine could not match. NOT deductible until categorized.</t>
  </si>
  <si>
    <t>A deposit the rule engine could not match. NOT counted as revenue until categorized.</t>
  </si>
  <si>
    <t>---  CLEARING  ---</t>
  </si>
  <si>
    <t>---  TRANSFERS  ---</t>
  </si>
  <si>
    <t>---  OWNER  ---</t>
  </si>
  <si>
    <t>AUTO-CATEGORY RULES</t>
  </si>
  <si>
    <t>If a description CONTAINS the keyword, the row gets that category. The LOWEST priority number wins, so a specific rule always beats a broad one.</t>
  </si>
  <si>
    <t>Broad, mixed-use vendors (Amazon, Costco, Walmart, PayPal, Venmo...) are deliberately mapped to Review Required at priority 900. They are NOT deductible until you choose a real category. To override one, add your own rule with a lower priority number.</t>
  </si>
  <si>
    <t>Priority</t>
  </si>
  <si>
    <t>If description contains</t>
  </si>
  <si>
    <t>Use this category</t>
  </si>
  <si>
    <t>Direction</t>
  </si>
  <si>
    <t>Scope
(not yet active)</t>
  </si>
  <si>
    <t>Active</t>
  </si>
  <si>
    <t>Review note</t>
  </si>
  <si>
    <t>BLUE CROSS</t>
  </si>
  <si>
    <t>In</t>
  </si>
  <si>
    <t>Specific</t>
  </si>
  <si>
    <t>Payer deposit</t>
  </si>
  <si>
    <t>BCBS</t>
  </si>
  <si>
    <t>AETNA</t>
  </si>
  <si>
    <t>CIGNA</t>
  </si>
  <si>
    <t>UNITEDHEALTH</t>
  </si>
  <si>
    <t>HUMANA</t>
  </si>
  <si>
    <t>DELTA DENTAL</t>
  </si>
  <si>
    <t>Dental payer</t>
  </si>
  <si>
    <t>VSP</t>
  </si>
  <si>
    <t>Vision payer</t>
  </si>
  <si>
    <t>METLIFE</t>
  </si>
  <si>
    <t>Dental/vision payer</t>
  </si>
  <si>
    <t>GUARDIAN</t>
  </si>
  <si>
    <t>UNITED CONCORDIA</t>
  </si>
  <si>
    <t>EYEMED</t>
  </si>
  <si>
    <t>PRINCIPAL LIFE</t>
  </si>
  <si>
    <t>AMERITAS</t>
  </si>
  <si>
    <t>DENTEMAX</t>
  </si>
  <si>
    <t>Dental network</t>
  </si>
  <si>
    <t>Out</t>
  </si>
  <si>
    <t>Outbound = premium</t>
  </si>
  <si>
    <t>ZELIS</t>
  </si>
  <si>
    <t>Payer payment processor</t>
  </si>
  <si>
    <t>ECHO HEALTH</t>
  </si>
  <si>
    <t>MEDICARE</t>
  </si>
  <si>
    <t>CMS / MAC deposit</t>
  </si>
  <si>
    <t>NOVITAS</t>
  </si>
  <si>
    <t>Medicare MAC</t>
  </si>
  <si>
    <t>MEDICAID</t>
  </si>
  <si>
    <t>State Medicaid</t>
  </si>
  <si>
    <t>TMHP</t>
  </si>
  <si>
    <t>Texas Medicaid</t>
  </si>
  <si>
    <t>Outbound = a premium you paid, not revenue</t>
  </si>
  <si>
    <t>SQUARE</t>
  </si>
  <si>
    <t>Net settlement - expand on Settlements</t>
  </si>
  <si>
    <t>STRIPE</t>
  </si>
  <si>
    <t>CLOVER</t>
  </si>
  <si>
    <t>ELAVON</t>
  </si>
  <si>
    <t>MERCHANT DEP</t>
  </si>
  <si>
    <t>Net settlement</t>
  </si>
  <si>
    <t>Separately billed processing fee</t>
  </si>
  <si>
    <t>MERCHANT FEE</t>
  </si>
  <si>
    <t>GUSTO PAYROLL</t>
  </si>
  <si>
    <t>Net pay - expand on Payroll Allocation</t>
  </si>
  <si>
    <t>GUSTO NET PAY</t>
  </si>
  <si>
    <t>GUSTO WAGE</t>
  </si>
  <si>
    <t>GUSTO TAX</t>
  </si>
  <si>
    <t>If the pay run already has employer taxes, make this clearing</t>
  </si>
  <si>
    <t>GUSTO FEE</t>
  </si>
  <si>
    <t>Provider fee - a deductible expense, not payroll cash</t>
  </si>
  <si>
    <t>GUSTO SERVICE FEE</t>
  </si>
  <si>
    <t>GUSTO BENEFIT</t>
  </si>
  <si>
    <t>Employer benefits - expand on Payroll Allocation</t>
  </si>
  <si>
    <t>ADP PAYROLL</t>
  </si>
  <si>
    <t>ADP NET PAY</t>
  </si>
  <si>
    <t>ADP WAGE</t>
  </si>
  <si>
    <t>ADP TAX</t>
  </si>
  <si>
    <t>ADP FEE</t>
  </si>
  <si>
    <t>ADP SERVICE FEE</t>
  </si>
  <si>
    <t>ADP BENEFIT</t>
  </si>
  <si>
    <t>PAYCHEX PAYROLL</t>
  </si>
  <si>
    <t>PAYCHEX NET PAY</t>
  </si>
  <si>
    <t>PAYCHEX WAGE</t>
  </si>
  <si>
    <t>PAYCHEX TAX</t>
  </si>
  <si>
    <t>PAYCHEX FEE</t>
  </si>
  <si>
    <t>PAYCHEX SERVICE FEE</t>
  </si>
  <si>
    <t>PAYCHEX BENEFIT</t>
  </si>
  <si>
    <t>RIPPLING PAYROLL</t>
  </si>
  <si>
    <t>RIPPLING NET PAY</t>
  </si>
  <si>
    <t>RIPPLING WAGE</t>
  </si>
  <si>
    <t>RIPPLING TAX</t>
  </si>
  <si>
    <t>RIPPLING FEE</t>
  </si>
  <si>
    <t>RIPPLING SERVICE FEE</t>
  </si>
  <si>
    <t>RIPPLING BENEFIT</t>
  </si>
  <si>
    <t>JUSTWORKS PAYROLL</t>
  </si>
  <si>
    <t>JUSTWORKS NET PAY</t>
  </si>
  <si>
    <t>JUSTWORKS WAGE</t>
  </si>
  <si>
    <t>JUSTWORKS TAX</t>
  </si>
  <si>
    <t>JUSTWORKS FEE</t>
  </si>
  <si>
    <t>JUSTWORKS SERVICE FEE</t>
  </si>
  <si>
    <t>JUSTWORKS BENEFIT</t>
  </si>
  <si>
    <t>TRINET PAYROLL</t>
  </si>
  <si>
    <t>TRINET NET PAY</t>
  </si>
  <si>
    <t>TRINET WAGE</t>
  </si>
  <si>
    <t>TRINET TAX</t>
  </si>
  <si>
    <t>TRINET FEE</t>
  </si>
  <si>
    <t>TRINET SERVICE FEE</t>
  </si>
  <si>
    <t>TRINET BENEFIT</t>
  </si>
  <si>
    <t>PAYLOCITY PAYROLL</t>
  </si>
  <si>
    <t>PAYLOCITY NET PAY</t>
  </si>
  <si>
    <t>PAYLOCITY WAGE</t>
  </si>
  <si>
    <t>PAYLOCITY TAX</t>
  </si>
  <si>
    <t>PAYLOCITY FEE</t>
  </si>
  <si>
    <t>PAYLOCITY SERVICE FEE</t>
  </si>
  <si>
    <t>PAYLOCITY BENEFIT</t>
  </si>
  <si>
    <t>QUICKBOOKS PAYROLL</t>
  </si>
  <si>
    <t>QUICKBOOKS PAYROLL TAX</t>
  </si>
  <si>
    <t>DIRECT DEP</t>
  </si>
  <si>
    <t>Likely net pay - expand on Payroll Allocation</t>
  </si>
  <si>
    <t>EFTPS</t>
  </si>
  <si>
    <t>Withholding + employer share - expand on Payroll Allocation</t>
  </si>
  <si>
    <t>WORKFORCE COMMISSION</t>
  </si>
  <si>
    <t>State unemployment tax</t>
  </si>
  <si>
    <t>UNEMPLOYMENT TAX</t>
  </si>
  <si>
    <t>STATE UI TAX</t>
  </si>
  <si>
    <t>PAYROLL</t>
  </si>
  <si>
    <t>Generic payroll cash movement</t>
  </si>
  <si>
    <t>HENRY SCHEIN</t>
  </si>
  <si>
    <t>PATTERSON DENTAL</t>
  </si>
  <si>
    <t>BENCO</t>
  </si>
  <si>
    <t>GLIDEWELL</t>
  </si>
  <si>
    <t>Dental lab</t>
  </si>
  <si>
    <t>MCKESSON</t>
  </si>
  <si>
    <t>MEDLINE</t>
  </si>
  <si>
    <t>CARDINAL HEALTH</t>
  </si>
  <si>
    <t>BOUND TREE</t>
  </si>
  <si>
    <t>ESSILOR</t>
  </si>
  <si>
    <t>LUXOTTICA</t>
  </si>
  <si>
    <t>QUEST DIAG</t>
  </si>
  <si>
    <t>LABCORP</t>
  </si>
  <si>
    <t>STERICYCLE</t>
  </si>
  <si>
    <t>SHARPS COMPL</t>
  </si>
  <si>
    <t>MEDICAL WASTE</t>
  </si>
  <si>
    <t>CINTAS</t>
  </si>
  <si>
    <t>UNIFIRST</t>
  </si>
  <si>
    <t>SCRUB</t>
  </si>
  <si>
    <t>ATHENAHEALTH</t>
  </si>
  <si>
    <t>ECLINICALWORKS</t>
  </si>
  <si>
    <t>NEXTGEN</t>
  </si>
  <si>
    <t>KAREO</t>
  </si>
  <si>
    <t>TEBRA</t>
  </si>
  <si>
    <t>SIMPLEPRACTICE</t>
  </si>
  <si>
    <t>THERAPYNOTES</t>
  </si>
  <si>
    <t>CHIROTOUCH</t>
  </si>
  <si>
    <t>DENTRIX</t>
  </si>
  <si>
    <t>EAGLESOFT</t>
  </si>
  <si>
    <t>OPEN DENTAL</t>
  </si>
  <si>
    <t>REVOLUTIONEHR</t>
  </si>
  <si>
    <t>WELLSKY</t>
  </si>
  <si>
    <t>AXXESS</t>
  </si>
  <si>
    <t>AVAILITY</t>
  </si>
  <si>
    <t>WAYSTAR</t>
  </si>
  <si>
    <t>CHANGE HEALTH</t>
  </si>
  <si>
    <t>OFFICE ALLY</t>
  </si>
  <si>
    <t>DOXY</t>
  </si>
  <si>
    <t>PAUBOX</t>
  </si>
  <si>
    <t>VIRTRU</t>
  </si>
  <si>
    <t>SHRED</t>
  </si>
  <si>
    <t>MICROSOFT</t>
  </si>
  <si>
    <t>GOOGLE WORKSPACE</t>
  </si>
  <si>
    <t>DROPBOX</t>
  </si>
  <si>
    <t>ADOBE</t>
  </si>
  <si>
    <t>QUICKBOOKS</t>
  </si>
  <si>
    <t>DOCTORS COMPANY</t>
  </si>
  <si>
    <t>MEDPRO</t>
  </si>
  <si>
    <t>PROASSURANCE</t>
  </si>
  <si>
    <t>NCMIC</t>
  </si>
  <si>
    <t>MALPRACTICE</t>
  </si>
  <si>
    <t>TDIC</t>
  </si>
  <si>
    <t>Dentists Insurance Company</t>
  </si>
  <si>
    <t>DENTISTS INS</t>
  </si>
  <si>
    <t>Dental malpractice</t>
  </si>
  <si>
    <t>OMS NATIONAL</t>
  </si>
  <si>
    <t>Oral surgery malpractice</t>
  </si>
  <si>
    <t>CNA INSURANCE</t>
  </si>
  <si>
    <t>Allied health malpractice</t>
  </si>
  <si>
    <t>WORKERS COMP</t>
  </si>
  <si>
    <t>MEDICAL BOARD</t>
  </si>
  <si>
    <t>DENTAL BOARD</t>
  </si>
  <si>
    <t>LICENSE RENEW</t>
  </si>
  <si>
    <t>STATE BOARD DENTAL</t>
  </si>
  <si>
    <t>BOARD DENTAL EXAM</t>
  </si>
  <si>
    <t>BOARD OF NURSING</t>
  </si>
  <si>
    <t>STATE BOARD OF PHARMACY</t>
  </si>
  <si>
    <t xml:space="preserve">DEA </t>
  </si>
  <si>
    <t>DIVERSION CONTROL</t>
  </si>
  <si>
    <t>CAQH</t>
  </si>
  <si>
    <t>CREDENTIAL</t>
  </si>
  <si>
    <t>AMERICAN MEDICAL</t>
  </si>
  <si>
    <t>AMERICAN DENTAL</t>
  </si>
  <si>
    <t>MEMBERSHIP DUES</t>
  </si>
  <si>
    <t>NURSES ASSN</t>
  </si>
  <si>
    <t>NURSES ASSOCIATION</t>
  </si>
  <si>
    <t>CHIROPRACTIC ASSN</t>
  </si>
  <si>
    <t>OPTOMETRIC ASSN</t>
  </si>
  <si>
    <t>PSYCHOLOGICAL ASSN</t>
  </si>
  <si>
    <t>THERAPY ASSN</t>
  </si>
  <si>
    <t>MEDICAL ASSN</t>
  </si>
  <si>
    <t>MEDICAL ASSOCIATION</t>
  </si>
  <si>
    <t>MEDICAL SOCIETY</t>
  </si>
  <si>
    <t>DENTAL ASSN</t>
  </si>
  <si>
    <t>DENTAL SOCIETY</t>
  </si>
  <si>
    <t>CME</t>
  </si>
  <si>
    <t>CONTINUING ED</t>
  </si>
  <si>
    <t>UPTODATE</t>
  </si>
  <si>
    <t>LAW FIRM</t>
  </si>
  <si>
    <t>Attorney - special information-return rules</t>
  </si>
  <si>
    <t>ATTORNEY</t>
  </si>
  <si>
    <t>POWELL UNITED</t>
  </si>
  <si>
    <t>BOOKKEEP</t>
  </si>
  <si>
    <t>CENTERPOINT</t>
  </si>
  <si>
    <t>RELIANT</t>
  </si>
  <si>
    <t>CITY OF HOUSTON</t>
  </si>
  <si>
    <t>AT&amp;T</t>
  </si>
  <si>
    <t>VERIZON</t>
  </si>
  <si>
    <t>SPECTRUM</t>
  </si>
  <si>
    <t>COMCAST</t>
  </si>
  <si>
    <t>RINGCENTRAL</t>
  </si>
  <si>
    <t>ANSWERING SERV</t>
  </si>
  <si>
    <t>PROPERTY MGMT</t>
  </si>
  <si>
    <t>RENT</t>
  </si>
  <si>
    <t>OFF - matched CURRENT and RENT-A-CAR. Add your landlord instead.</t>
  </si>
  <si>
    <t>STAPLES</t>
  </si>
  <si>
    <t>OFFICE DEPOT</t>
  </si>
  <si>
    <t>USPS</t>
  </si>
  <si>
    <t>FEDEX</t>
  </si>
  <si>
    <t>UPS STORE</t>
  </si>
  <si>
    <t>STAMPS.COM</t>
  </si>
  <si>
    <t>PITNEY BOWES</t>
  </si>
  <si>
    <t>GOOGLE ADS</t>
  </si>
  <si>
    <t>META PLATFORMS</t>
  </si>
  <si>
    <t>ZOCDOC</t>
  </si>
  <si>
    <t>HEALTHGRADES</t>
  </si>
  <si>
    <t>GODADDY</t>
  </si>
  <si>
    <t>SQUARESPACE</t>
  </si>
  <si>
    <t>MAILCHIMP</t>
  </si>
  <si>
    <t>WEAVE</t>
  </si>
  <si>
    <t>PARKING</t>
  </si>
  <si>
    <t>EZ TAG</t>
  </si>
  <si>
    <t>SOUTHWEST AIR</t>
  </si>
  <si>
    <t>UNITED AIRLINES</t>
  </si>
  <si>
    <t>MARRIOTT</t>
  </si>
  <si>
    <t>HILTON</t>
  </si>
  <si>
    <t>SHELL OIL</t>
  </si>
  <si>
    <t>Skip if you use the Mileage Log for this vehicle</t>
  </si>
  <si>
    <t>EXXON</t>
  </si>
  <si>
    <t>CHEVRON</t>
  </si>
  <si>
    <t>VALERO</t>
  </si>
  <si>
    <t>TEXACO</t>
  </si>
  <si>
    <t>CITGO</t>
  </si>
  <si>
    <t>SUNOCO</t>
  </si>
  <si>
    <t>CONOCO</t>
  </si>
  <si>
    <t>PHILLIPS 66</t>
  </si>
  <si>
    <t>AIRLINES</t>
  </si>
  <si>
    <t>AIR LINES</t>
  </si>
  <si>
    <t>JETBLUE</t>
  </si>
  <si>
    <t>HOTEL</t>
  </si>
  <si>
    <t>MOTEL</t>
  </si>
  <si>
    <t>HYATT</t>
  </si>
  <si>
    <t>HOLIDAY INN</t>
  </si>
  <si>
    <t>HAMPTON INN</t>
  </si>
  <si>
    <t>RESIDENCE INN</t>
  </si>
  <si>
    <t>COURTYARD</t>
  </si>
  <si>
    <t>WESTIN</t>
  </si>
  <si>
    <t>SHERATON</t>
  </si>
  <si>
    <t>DOUBLETREE</t>
  </si>
  <si>
    <t>EMBASSY SUITES</t>
  </si>
  <si>
    <t>BEST WESTERN</t>
  </si>
  <si>
    <t>LA QUINTA</t>
  </si>
  <si>
    <t>SERVICE CHARGE</t>
  </si>
  <si>
    <t>MONTHLY FEE</t>
  </si>
  <si>
    <t>OVERDRAFT</t>
  </si>
  <si>
    <t>WIRE FEE</t>
  </si>
  <si>
    <t>INTEREST CHARGE</t>
  </si>
  <si>
    <t>FINANCE CHARGE</t>
  </si>
  <si>
    <t>INTEREST EARNED</t>
  </si>
  <si>
    <t>Non-operating income</t>
  </si>
  <si>
    <t>INTEREST PAID TO</t>
  </si>
  <si>
    <t>LOAN PAYMENT</t>
  </si>
  <si>
    <t>SPLIT the interest portion into Interest - Business Loans</t>
  </si>
  <si>
    <t>FRANCHISE TAX</t>
  </si>
  <si>
    <t>COMPTROLLER</t>
  </si>
  <si>
    <t>OWNER DRAW</t>
  </si>
  <si>
    <t>MEMBER DRAW</t>
  </si>
  <si>
    <t>DISTRIBUTION</t>
  </si>
  <si>
    <t>OWNER CONTRIB</t>
  </si>
  <si>
    <t>CAPITAL CONTRIB</t>
  </si>
  <si>
    <t>VANGUARD</t>
  </si>
  <si>
    <t>Owner-level - confirm staff vs owner</t>
  </si>
  <si>
    <t>FIDELITY</t>
  </si>
  <si>
    <t>SOLO 401</t>
  </si>
  <si>
    <t>SEP IRA</t>
  </si>
  <si>
    <t>TRANSFER</t>
  </si>
  <si>
    <t>Any</t>
  </si>
  <si>
    <t>Generic - a real transfer descriptor should be added as its own rule</t>
  </si>
  <si>
    <t>XFER</t>
  </si>
  <si>
    <t>VISA PAYMENT</t>
  </si>
  <si>
    <t>CARD PAYMENT</t>
  </si>
  <si>
    <t>CREDIT CARD PMT</t>
  </si>
  <si>
    <t>PAYMENT THANK YOU</t>
  </si>
  <si>
    <t>CARDMEMBER SERV</t>
  </si>
  <si>
    <t>AUTOPAY</t>
  </si>
  <si>
    <t>UNITED HEALTHCARE</t>
  </si>
  <si>
    <t>Payer deposit - bank prints the space</t>
  </si>
  <si>
    <t xml:space="preserve">UHC </t>
  </si>
  <si>
    <t>Payer deposit - trailing space is deliberate</t>
  </si>
  <si>
    <t>OPTUM</t>
  </si>
  <si>
    <t>Expand on Payroll Allocation</t>
  </si>
  <si>
    <t>COPAY</t>
  </si>
  <si>
    <t>Front-desk collections</t>
  </si>
  <si>
    <t>AMAZON</t>
  </si>
  <si>
    <t>Broad</t>
  </si>
  <si>
    <t>Sells business and personal goods. Categorize each purchase yourself.</t>
  </si>
  <si>
    <t>AMZN</t>
  </si>
  <si>
    <t>Amazon variant.</t>
  </si>
  <si>
    <t>WALMART</t>
  </si>
  <si>
    <t>Mixed-use retailer.</t>
  </si>
  <si>
    <t>WAL-MART</t>
  </si>
  <si>
    <t>Statements often hyphenate the name.</t>
  </si>
  <si>
    <t>WM SUPERCENTER</t>
  </si>
  <si>
    <t>Walmart descriptor.</t>
  </si>
  <si>
    <t>COSTCO</t>
  </si>
  <si>
    <t>Mixed-use warehouse club.</t>
  </si>
  <si>
    <t>SAMS CLUB</t>
  </si>
  <si>
    <t>SAM'S CLUB</t>
  </si>
  <si>
    <t>Apostrophe variant.</t>
  </si>
  <si>
    <t>SAMSCLUB</t>
  </si>
  <si>
    <t>Unspaced variant.</t>
  </si>
  <si>
    <t>TARGET</t>
  </si>
  <si>
    <t>EBAY</t>
  </si>
  <si>
    <t>Marketplace - anything.</t>
  </si>
  <si>
    <t>PAYPAL</t>
  </si>
  <si>
    <t>A payment rail, not a vendor. Identify who was actually paid.</t>
  </si>
  <si>
    <t>VENMO</t>
  </si>
  <si>
    <t>Payment rail, not a vendor.</t>
  </si>
  <si>
    <t>ZELLE</t>
  </si>
  <si>
    <t>CASH APP</t>
  </si>
  <si>
    <t>APPLE.COM</t>
  </si>
  <si>
    <t>Hardware, apps or personal media.</t>
  </si>
  <si>
    <t>BEST BUY</t>
  </si>
  <si>
    <t>BESTBUY</t>
  </si>
  <si>
    <t>HOME DEPOT</t>
  </si>
  <si>
    <t>THE HOME DEPOT</t>
  </si>
  <si>
    <t>Full-name variant.</t>
  </si>
  <si>
    <t>LOWES</t>
  </si>
  <si>
    <t>LOWE'S</t>
  </si>
  <si>
    <t>RESTAURANT</t>
  </si>
  <si>
    <t>A meal is only deductible with a documented business purpose.</t>
  </si>
  <si>
    <t>STARBUCKS</t>
  </si>
  <si>
    <t>DOORDASH</t>
  </si>
  <si>
    <t>Business purpose required.</t>
  </si>
  <si>
    <t>UBER</t>
  </si>
  <si>
    <t>Could be business travel, a personal ride, or food delivery.</t>
  </si>
  <si>
    <t>OLIVE GARDEN</t>
  </si>
  <si>
    <t>A meal needs a documented business purpose.</t>
  </si>
  <si>
    <t>CHIPOTLE</t>
  </si>
  <si>
    <t>PANERA</t>
  </si>
  <si>
    <t>MCDONALD</t>
  </si>
  <si>
    <t>CHICK-FIL-A</t>
  </si>
  <si>
    <t>SUBWAY</t>
  </si>
  <si>
    <t>PIZZA</t>
  </si>
  <si>
    <t>CAFE</t>
  </si>
  <si>
    <t>GRILL</t>
  </si>
  <si>
    <t>BBQ</t>
  </si>
  <si>
    <t>TACO</t>
  </si>
  <si>
    <t>BAKERY</t>
  </si>
  <si>
    <t>COFFEE</t>
  </si>
  <si>
    <t>STEAKHOUSE</t>
  </si>
  <si>
    <t>BISTRO</t>
  </si>
  <si>
    <t>DINER</t>
  </si>
  <si>
    <t>ASSN</t>
  </si>
  <si>
    <t>A professional body, or the client's homeowners' assn?</t>
  </si>
  <si>
    <t>ASSOCIATION</t>
  </si>
  <si>
    <t>STOP - END OF THE RULES AREA. Row 442 is the last usable row. Cells below this line are locked on purpose: anything typed there would look fine but would be invisible to every report. If you are out of room, contact Powell United before continuing.</t>
  </si>
  <si>
    <t>Reports read rows 8 to 442 only. This counter is the whole story - if it says FULL, stop entering.</t>
  </si>
  <si>
    <t>AI RULE PROPOSALS - INERT UNTIL YOU MOVE THEM UP</t>
  </si>
  <si>
    <t>Anything an AI assistant suggests goes HERE, below the active table and outside every range the engine reads. It has no effect on categorization. If you agree with a proposal, copy it into an empty yellow row in the ACTIVE table above. That copy is your approval - the workbook will never make it for you.</t>
  </si>
  <si>
    <t>Keyword</t>
  </si>
  <si>
    <t>Scope</t>
  </si>
  <si>
    <t>Approved?</t>
  </si>
  <si>
    <t>Why the AI suggested it</t>
  </si>
  <si>
    <t>RULE EXCEPTION REPORT</t>
  </si>
  <si>
    <t>Automatic diagnostics over the Rules sheet: conflicting, overly broad, unknown-category and switched-off rules.</t>
  </si>
  <si>
    <t>Rule row</t>
  </si>
  <si>
    <t>Exceptions found</t>
  </si>
  <si>
    <t>TAX RULES - 2026</t>
  </si>
  <si>
    <t>Every tax-dependent figure this workbook uses. No tax value appears in any formula; formulas read this sheet.</t>
  </si>
  <si>
    <t>VERIFIED IS NOT APPROVED. Each rule carries three independent states: whether a primary government source was checked, whether Powell United approved it for this non-public pilot, and whether it is approved for public use. Nothing here is approved for public use.</t>
  </si>
  <si>
    <t>Rule</t>
  </si>
  <si>
    <t>Value / statement</t>
  </si>
  <si>
    <t>Effective from</t>
  </si>
  <si>
    <t>Effective to</t>
  </si>
  <si>
    <t>Primary source</t>
  </si>
  <si>
    <t>Verified</t>
  </si>
  <si>
    <t>Verification</t>
  </si>
  <si>
    <t>Pilot approval</t>
  </si>
  <si>
    <t>Public approval</t>
  </si>
  <si>
    <t>Rule ID (used by formulas)</t>
  </si>
  <si>
    <t>Business standard mileage rate — 1 Jan to 30 Jun 2026</t>
  </si>
  <si>
    <t>IRS Notice 2026-10 / IR-2025-128; IRS Standard mileage rates page</t>
  </si>
  <si>
    <t>verified</t>
  </si>
  <si>
    <t>approved_for_pilot</t>
  </si>
  <si>
    <t>not_submitted</t>
  </si>
  <si>
    <t>v1.1 shipped a single flat 0.70 with no date logic. Wrong value and wrong model.</t>
  </si>
  <si>
    <t>mileage_business_h1</t>
  </si>
  <si>
    <t>Business standard mileage rate — 1 Jul to 31 Dec 2026</t>
  </si>
  <si>
    <t>IRS IR-2026-29, Internal Revenue Bulletin 2026-29 (13 Jul 2026)</t>
  </si>
  <si>
    <t>MIDYEAR REVISION for fuel prices. Applies to transportation expenses paid or incurred ON OR AFTER 1 Jul 2026. The mileage log selects the rate by trip date.</t>
  </si>
  <si>
    <t>mileage_business_h2</t>
  </si>
  <si>
    <t>Form 1099-NEC box 1a threshold — nonemployee compensation</t>
  </si>
  <si>
    <t>IRS Instructions for Forms 1099-MISC and 1099-NEC (Rev. Jan 2026); P.L. 119-21</t>
  </si>
  <si>
    <t>Raised from $600 by P.L. 119-21 for payments after 31 Dec 2025; indexed for inflation after 2026. v1.1 hard-coded $600 and presented it as a universal determination. Both the amount and the framing were wrong.</t>
  </si>
  <si>
    <t>form_1099_nec_threshold</t>
  </si>
  <si>
    <t>Form 1099-MISC box 6 threshold — medical and health care payments</t>
  </si>
  <si>
    <t>IRS Instructions for Forms 1099-MISC and 1099-NEC (Rev. Jan 2026)</t>
  </si>
  <si>
    <t>Reported on 1099-MISC box 6, NOT 1099-NEC. The corporation exemption DOES NOT APPLY. The most relevant 1099 rule for this audience; absent from v1.1.</t>
  </si>
  <si>
    <t>form_1099_misc_medical_threshold</t>
  </si>
  <si>
    <t>Attorney fees for services — 1099-NEC box 1a threshold</t>
  </si>
  <si>
    <t>Corporation exemption does not apply to attorneys.</t>
  </si>
  <si>
    <t>form_1099_attorney_fees_threshold</t>
  </si>
  <si>
    <t>Attorney gross proceeds — 1099-MISC box 10 threshold</t>
  </si>
  <si>
    <t>STILL $600, not $2,000 — gross proceeds in connection with legal services but not for the attorney's own services. Proof that one universal dollar threshold is unsafe.</t>
  </si>
  <si>
    <t>form_1099_attorney_gross_proceeds_threshold</t>
  </si>
  <si>
    <t>Card and third-party network payments are excluded from 1099-NEC/MISC</t>
  </si>
  <si>
    <t>Payments made by credit card, debit card, or third-party payment network are reported on Form 1099-K by the payment settlement entity and are NOT reportable by the payer on 1099-MISC or 1099-NEC. Payment METHOD, not only amount, determines whether a 1099 is required.</t>
  </si>
  <si>
    <t>IRS Instructions for Forms 1099-MISC and 1099-NEC; IRC §6050W</t>
  </si>
  <si>
    <t>rule_1099_card_payments_excluded</t>
  </si>
  <si>
    <t>Corporation exemption and its exceptions</t>
  </si>
  <si>
    <t>Payments to corporations are generally exempt. Reportable exceptions: attorneys' fees (1099-NEC box 1a); medical and health care payments (1099-MISC box 6); fish purchased for resale (box 11); substitute dividend/interest payments (box 8).</t>
  </si>
  <si>
    <t>IRS Instructions for Forms 1099-MISC and 1099-NEC</t>
  </si>
  <si>
    <t>rule_1099_corporation_exemption</t>
  </si>
  <si>
    <t>This product performs no tax calculation</t>
  </si>
  <si>
    <t>The bookkeeping system does not calculate or recommend an estimated quarterly tax payment, self-employment tax, or any tax liability. It summarizes bookkeeping- derived planning inputs for a tax professional. Tax projections, conclusions and payment recommendations are a Powell United professional engagement. Strategy screening is the separate Healthcare Tax Strategy Planner.</t>
  </si>
  <si>
    <t>Product boundary decision, Powell United 2026-08-01</t>
  </si>
  <si>
    <t>rule_no_tax_calculation</t>
  </si>
  <si>
    <t>Rows to 100 are held for additional tax rules - see R1-11. The Schedule C line captions continue at row 102.</t>
  </si>
  <si>
    <t>SCHEDULE C LINE CAPTIONS</t>
  </si>
  <si>
    <t>VERIFIED IS NOT APPROVED. Each caption was checked against the printed form on the date shown, which is a different claim from Powell United having approved it for use. All 28 are approved for this NON-PUBLIC pilot. Nothing here is approved for public use. The Profit &amp; Loss never shows an unapproved caption and never invents one.</t>
  </si>
  <si>
    <t>Line</t>
  </si>
  <si>
    <t>Printed caption</t>
  </si>
  <si>
    <t>Categories
mapped here</t>
  </si>
  <si>
    <t>Form</t>
  </si>
  <si>
    <t>Advertising</t>
  </si>
  <si>
    <t>Schedule C</t>
  </si>
  <si>
    <t>IRS Schedule C (Form 1040), Part II, as printed on the 2025 revision (Cat. No. 11334P)</t>
  </si>
  <si>
    <t>Caption text is the caption printed on the 2025 Schedule C revision, which was the most recent published revision on the verified date - the 2026 revision was not yet available. This caption is identical on the 2022, 2023, 2024 and 2025 revisions.</t>
  </si>
  <si>
    <t>sched_c_line_8</t>
  </si>
  <si>
    <t>Insurance (other than health)</t>
  </si>
  <si>
    <t>sched_c_line_15</t>
  </si>
  <si>
    <t>Interest: Other</t>
  </si>
  <si>
    <t>sched_c_line_16b</t>
  </si>
  <si>
    <t>Legal and professional services</t>
  </si>
  <si>
    <t>sched_c_line_17</t>
  </si>
  <si>
    <t>Office expense (see instructions)</t>
  </si>
  <si>
    <t>sched_c_line_18</t>
  </si>
  <si>
    <t>Rent or lease: Vehicles, machinery, and equipment</t>
  </si>
  <si>
    <t>sched_c_line_20a</t>
  </si>
  <si>
    <t>Rent or lease: Other business property</t>
  </si>
  <si>
    <t>sched_c_line_20b</t>
  </si>
  <si>
    <t>Repairs and maintenance</t>
  </si>
  <si>
    <t>sched_c_line_21</t>
  </si>
  <si>
    <t>Supplies (not included in Part III)</t>
  </si>
  <si>
    <t>sched_c_line_22</t>
  </si>
  <si>
    <t>Taxes and licenses</t>
  </si>
  <si>
    <t>sched_c_line_23</t>
  </si>
  <si>
    <t>Travel and meals: Travel</t>
  </si>
  <si>
    <t>sched_c_line_24a</t>
  </si>
  <si>
    <t>sched_c_line_25</t>
  </si>
  <si>
    <t>27a</t>
  </si>
  <si>
    <t>Energy efficient commercial bldgs deduction (attach Form 7205)</t>
  </si>
  <si>
    <t>CHANGED FOR TAX YEAR 2025. Line 27a was 'Other expenses (from line 48)' on the 2022-2024 revisions; the 2025 revision swaps 27a and 27b. Thirteen categories mapped here, pointing them at the Form 7205 energy-efficiency deduction, and were moved to 27b on 2026-08-21 by Matthew's decision. None maps here now.</t>
  </si>
  <si>
    <t>sched_c_line_27a</t>
  </si>
  <si>
    <t>Other expenses (from line 48)</t>
  </si>
  <si>
    <t>Was 'Reserved for future use' on the 2022 revision and the Form 7205 deduction on the 2023 and 2024 revisions. Carries Part V line 48 on the 2025 revision. This is where a Part V 'other expense' belongs on the current form, and the thirteen categories moved on 2026-08-21 land here.</t>
  </si>
  <si>
    <t>sched_c_line_27b</t>
  </si>
  <si>
    <t>Compensation of officers (see instructions - attach Form 1125-E)</t>
  </si>
  <si>
    <t>Form 1120-S</t>
  </si>
  <si>
    <t>IRS Form 1120-S (2025), page 1, Deductions, as printed on the 2025 revision (Cat. No. 11510H)</t>
  </si>
  <si>
    <t>Caption text is the caption printed on the 2025 Form 1120-S revision, which was the most recent published revision on the verified date - there is no 2026 revision yet. The workbook resolves this line from the payroll allocation sheet, because the officer/staff split is structural on the form rather than a category mapping.</t>
  </si>
  <si>
    <t>form_1120s_line_7</t>
  </si>
  <si>
    <t>Salaries and wages (less employment credits)</t>
  </si>
  <si>
    <t>Caption text is the caption printed on the 2025 Form 1120-S revision, which was the most recent published revision on the verified date - there is no 2026 revision yet. Resolved from the payroll allocation sheet as the non-owner remainder.</t>
  </si>
  <si>
    <t>form_1120s_line_8</t>
  </si>
  <si>
    <t>Caption text is the caption printed on the 2025 Form 1120-S revision, which was the most recent published revision on the verified date - there is no 2026 revision yet.</t>
  </si>
  <si>
    <t>form_1120s_line_9</t>
  </si>
  <si>
    <t>Bad debts</t>
  </si>
  <si>
    <t>Caption text is the caption printed on the 2025 Form 1120-S revision, which was the most recent published revision on the verified date - there is no 2026 revision yet. No category maps here: for a healthcare practice most written-off patient balances reduce revenue rather than being bad debts, which is why none exists.</t>
  </si>
  <si>
    <t>form_1120s_line_10</t>
  </si>
  <si>
    <t>Rents</t>
  </si>
  <si>
    <t>form_1120s_line_11</t>
  </si>
  <si>
    <t>form_1120s_line_12</t>
  </si>
  <si>
    <t>Interest (see instructions)</t>
  </si>
  <si>
    <t>form_1120s_line_13</t>
  </si>
  <si>
    <t>Depreciation from Form 4562 not claimed on Form 1125-A or elsewhere on return (attach Form 4562)</t>
  </si>
  <si>
    <t>Caption text is the caption printed on the 2025 Form 1120-S revision, which was the most recent published revision on the verified date - there is no 2026 revision yet. Depreciation is calculated on the return, not in bookkeeping, so no category maps here.</t>
  </si>
  <si>
    <t>form_1120s_line_14</t>
  </si>
  <si>
    <t>Depletion (do not deduct oil and gas depletion)</t>
  </si>
  <si>
    <t>Caption text is the caption printed on the 2025 Form 1120-S revision, which was the most recent published revision on the verified date - there is no 2026 revision yet. Not applicable to a healthcare practice.</t>
  </si>
  <si>
    <t>form_1120s_line_15</t>
  </si>
  <si>
    <t>form_1120s_line_16</t>
  </si>
  <si>
    <t>Pension, profit-sharing, etc., plans</t>
  </si>
  <si>
    <t>form_1120s_line_17</t>
  </si>
  <si>
    <t>Employee benefit programs</t>
  </si>
  <si>
    <t>form_1120s_line_18</t>
  </si>
  <si>
    <t>19</t>
  </si>
  <si>
    <t>Energy efficient commercial buildings deduction (attach Form 7205)</t>
  </si>
  <si>
    <t>Caption text is the caption printed on the 2025 Form 1120-S revision, which was the most recent published revision on the verified date - there is no 2026 revision yet. NOTHING MAY BE DERIVED ONTO THIS LINE. It is the 1120S counterpart of Schedule C 27a, and an assertion in model.py fails the build if a category ever lands here. The residual line is 20.</t>
  </si>
  <si>
    <t>form_1120s_line_19</t>
  </si>
  <si>
    <t>Other deductions (attach statement)</t>
  </si>
  <si>
    <t>Caption text is the caption printed on the 2025 Form 1120-S revision, which was the most recent published revision on the verified date - there is no 2026 revision yet. The residual. 1120S page 1 has no line for insurance, office expense, supplies, travel, meals or utilities, so all of those land here. The attached statement is exactly the category detail the P&amp;L already produces.</t>
  </si>
  <si>
    <t>form_1120s_line_20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</si>
</sst>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00"/>
    <numFmt numFmtId="165" formatCode="mm/dd/yyyy"/>
    <numFmt numFmtId="166" formatCode="\$#,##0;\(\$#,##0\);&quot;-&quot;"/>
    <numFmt numFmtId="167" formatCode="\$#,##0.00;\(\$#,##0.00\);&quot;-&quot;"/>
    <numFmt numFmtId="168" formatCode="0.0%"/>
    <numFmt numFmtId="169" formatCode="#,##0.0"/>
    <numFmt numFmtId="170" formatCode="mmmm\ yyyy"/>
    <numFmt numFmtId="171" formatCode="mmm"/>
  </numFmts>
  <fonts count="66" x14ac:knownFonts="1">
    <font>
      <sz val="11"/>
      <color theme="1"/>
      <name val="Calibri"/>
      <family val="2"/>
      <scheme val="minor"/>
    </font>
    <font>
      <b/>
      <sz val="16"/>
      <color rgb="FFFFFFFF"/>
      <name val="Arial"/>
    </font>
    <font>
      <i/>
      <sz val="9.5"/>
      <color rgb="FFFFFFFF"/>
      <name val="Arial"/>
    </font>
    <font>
      <b/>
      <sz val="8.5"/>
      <color rgb="FFC00000"/>
      <name val="Arial"/>
    </font>
    <font>
      <b/>
      <sz val="9.5"/>
      <color rgb="FFC00000"/>
      <name val="Arial"/>
    </font>
    <font>
      <b/>
      <sz val="9"/>
      <color rgb="FFFFFFFF"/>
      <name val="Arial"/>
    </font>
    <font>
      <b/>
      <sz val="9"/>
      <color rgb="FF000000"/>
      <name val="Arial"/>
    </font>
    <font>
      <b/>
      <sz val="10"/>
      <color rgb="FF000000"/>
      <name val="Arial"/>
    </font>
    <font>
      <sz val="9"/>
      <color rgb="FF000000"/>
      <name val="Arial"/>
    </font>
    <font>
      <sz val="8"/>
      <color rgb="FF000000"/>
      <name val="Arial"/>
    </font>
    <font>
      <b/>
      <sz val="8"/>
      <color rgb="FF006100"/>
      <name val="Arial"/>
    </font>
    <font>
      <b/>
      <sz val="8"/>
      <color rgb="FFC00000"/>
      <name val="Arial"/>
    </font>
    <font>
      <sz val="8"/>
      <color rgb="FF595959"/>
      <name val="Consolas"/>
    </font>
    <font>
      <sz val="8.5"/>
      <color rgb="FF000000"/>
      <name val="Arial"/>
    </font>
    <font>
      <i/>
      <sz val="8.5"/>
      <color rgb="FF595959"/>
      <name val="Arial"/>
    </font>
    <font>
      <b/>
      <sz val="11"/>
      <color rgb="FFFFFFFF"/>
      <name val="Arial"/>
    </font>
    <font>
      <b/>
      <sz val="10"/>
      <color rgb="FF1F3864"/>
      <name val="Arial"/>
    </font>
    <font>
      <b/>
      <sz val="9"/>
      <color rgb="FF1F3864"/>
      <name val="Arial"/>
    </font>
    <font>
      <b/>
      <sz val="8.5"/>
      <color rgb="FF1F3864"/>
      <name val="Arial"/>
    </font>
    <font>
      <sz val="9"/>
      <color rgb="FF595959"/>
      <name val="Arial"/>
    </font>
    <font>
      <i/>
      <sz val="8"/>
      <color rgb="FF595959"/>
      <name val="Arial"/>
    </font>
    <font>
      <sz val="9"/>
      <color rgb="FFC00000"/>
      <name val="Arial"/>
    </font>
    <font>
      <sz val="8"/>
      <color rgb="FF595959"/>
      <name val="Arial"/>
    </font>
    <font>
      <sz val="9"/>
      <color rgb="FF0000FF"/>
      <name val="Arial"/>
    </font>
    <font>
      <sz val="10"/>
      <color rgb="FF000000"/>
      <name val="Arial"/>
    </font>
    <font>
      <b/>
      <sz val="10"/>
      <color rgb="FF595959"/>
      <name val="Arial"/>
    </font>
    <font>
      <sz val="8"/>
      <color rgb="FFBFBFBF"/>
      <name val="Arial"/>
    </font>
    <font>
      <sz val="8"/>
      <color rgb="FFC00000"/>
      <name val="Arial"/>
    </font>
    <font>
      <sz val="10"/>
      <color rgb="FF0000FF"/>
      <name val="Arial"/>
    </font>
    <font>
      <i/>
      <sz val="9"/>
      <color rgb="FF595959"/>
      <name val="Arial"/>
    </font>
    <font>
      <sz val="10"/>
      <color rgb="FF595959"/>
      <name val="Arial"/>
    </font>
    <font>
      <i/>
      <sz val="9.5"/>
      <color rgb="FF595959"/>
      <name val="Arial"/>
    </font>
    <font>
      <sz val="9.5"/>
      <color rgb="FF000000"/>
      <name val="Arial"/>
    </font>
    <font>
      <b/>
      <sz val="9.5"/>
      <color rgb="FF1F3864"/>
      <name val="Arial"/>
    </font>
    <font>
      <sz val="8.5"/>
      <color rgb="FF595959"/>
      <name val="Arial"/>
    </font>
    <font>
      <sz val="8.5"/>
      <color rgb="FF0000FF"/>
      <name val="Arial"/>
    </font>
    <font>
      <b/>
      <sz val="8.5"/>
      <color rgb="FFFFFFFF"/>
      <name val="Arial"/>
    </font>
    <font>
      <sz val="8"/>
      <color rgb="FF0000FF"/>
      <name val="Arial"/>
    </font>
    <font>
      <sz val="7"/>
      <color rgb="FFBFBFBF"/>
      <name val="Arial"/>
    </font>
    <font>
      <b/>
      <sz val="9"/>
      <color rgb="FF595959"/>
      <name val="Arial"/>
    </font>
    <font>
      <b/>
      <sz val="9.5"/>
      <color rgb="FF000000"/>
      <name val="Arial"/>
    </font>
    <font>
      <b/>
      <sz val="11"/>
      <color rgb="FF1F6F78"/>
      <name val="Arial"/>
    </font>
    <font>
      <sz val="9"/>
      <color rgb="FF1F3864"/>
      <name val="Arial"/>
    </font>
    <font>
      <b/>
      <sz val="8.5"/>
      <color rgb="FF595959"/>
      <name val="Arial"/>
    </font>
    <font>
      <b/>
      <sz val="10"/>
      <color rgb="FFFFFFFF"/>
      <name val="Arial"/>
    </font>
    <font>
      <b/>
      <i/>
      <sz val="8.5"/>
      <color rgb="FFC00000"/>
      <name val="Arial"/>
    </font>
    <font>
      <b/>
      <sz val="13"/>
      <color rgb="FFFFFFFF"/>
      <name val="Arial"/>
    </font>
    <font>
      <b/>
      <sz val="13"/>
      <color rgb="FF1F3864"/>
      <name val="Arial"/>
    </font>
    <font>
      <b/>
      <sz val="10.5"/>
      <color rgb="FF000000"/>
      <name val="Arial"/>
    </font>
    <font>
      <b/>
      <sz val="12"/>
      <color rgb="FF1F3864"/>
      <name val="Arial"/>
    </font>
    <font>
      <b/>
      <sz val="10"/>
      <color rgb="FF0000FF"/>
      <name val="Arial"/>
    </font>
    <font>
      <b/>
      <i/>
      <sz val="8.5"/>
      <color rgb="FF0000FF"/>
      <name val="Arial"/>
    </font>
    <font>
      <sz val="9.5"/>
      <color rgb="FF595959"/>
      <name val="Arial"/>
    </font>
    <font>
      <b/>
      <sz val="9.5"/>
      <color rgb="FF595959"/>
      <name val="Arial"/>
    </font>
    <font>
      <i/>
      <sz val="8.5"/>
      <color rgb="FFC00000"/>
      <name val="Arial"/>
    </font>
    <font>
      <b/>
      <sz val="10"/>
      <color rgb="FFC00000"/>
      <name val="Arial"/>
    </font>
    <font>
      <b/>
      <sz val="9"/>
      <color rgb="FFC00000"/>
      <name val="Arial"/>
    </font>
    <font>
      <b/>
      <sz val="11"/>
      <color rgb="FF1F3864"/>
      <name val="Arial"/>
    </font>
    <font>
      <b/>
      <sz val="9.5"/>
      <color rgb="FFFFFFFF"/>
      <name val="Arial"/>
    </font>
    <font>
      <b/>
      <sz val="10.5"/>
      <color rgb="FFC00000"/>
      <name val="Arial"/>
    </font>
    <font>
      <b/>
      <sz val="11"/>
      <color rgb="FFC00000"/>
      <name val="Arial"/>
    </font>
    <font>
      <i/>
      <sz val="9.5"/>
      <color rgb="FF1F6F78"/>
      <name val="Arial"/>
    </font>
    <font>
      <sz val="9"/>
      <color rgb="FF000000"/>
      <name val="Consolas"/>
    </font>
    <font>
      <i/>
      <sz val="10"/>
      <color rgb="FF1F6F78"/>
      <name val="Arial"/>
    </font>
    <font>
      <b/>
      <sz val="10"/>
      <color rgb="FF006100"/>
      <name val="Arial"/>
    </font>
    <font>
      <b/>
      <sz val="10.5"/>
      <color rgb="FF1F3864"/>
      <name val="Arial"/>
    </font>
  </fonts>
  <fills count="16">
    <fill>
      <patternFill patternType="none"/>
    </fill>
    <fill>
      <patternFill patternType="gray125"/>
    </fill>
    <fill>
      <patternFill patternType="solid">
        <fgColor rgb="FF1F3864"/>
      </patternFill>
    </fill>
    <fill>
      <patternFill patternType="solid">
        <fgColor rgb="FF1F6F78"/>
      </patternFill>
    </fill>
    <fill>
      <patternFill patternType="solid">
        <fgColor rgb="FFFCE4D6"/>
      </patternFill>
    </fill>
    <fill>
      <patternFill patternType="solid">
        <fgColor rgb="FFFAFAFA"/>
      </patternFill>
    </fill>
    <fill>
      <patternFill patternType="solid">
        <fgColor rgb="FFE2EFDA"/>
      </patternFill>
    </fill>
    <fill>
      <patternFill patternType="solid">
        <fgColor rgb="FFFFFFFF"/>
      </patternFill>
    </fill>
    <fill>
      <patternFill patternType="solid">
        <fgColor rgb="FFF2F2F2"/>
      </patternFill>
    </fill>
    <fill>
      <patternFill patternType="solid">
        <fgColor rgb="FFFFF2CC"/>
      </patternFill>
    </fill>
    <fill>
      <patternFill patternType="solid">
        <fgColor rgb="FFC00000"/>
      </patternFill>
    </fill>
    <fill>
      <patternFill patternType="solid">
        <fgColor rgb="FFD9E2F3"/>
      </patternFill>
    </fill>
    <fill>
      <patternFill patternType="solid">
        <fgColor rgb="FFEDEDED"/>
      </patternFill>
    </fill>
    <fill>
      <patternFill patternType="solid">
        <fgColor rgb="FF00B050"/>
      </patternFill>
    </fill>
    <fill>
      <patternFill patternType="solid">
        <fgColor rgb="FF00B0F0"/>
      </patternFill>
    </fill>
    <fill>
      <patternFill patternType="solid">
        <fgColor rgb="FFA6A6A6"/>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style="thin">
        <color rgb="FFBFBFBF"/>
      </right>
      <top style="thin">
        <color rgb="FFBFBFBF"/>
      </top>
      <bottom style="thin">
        <color rgb="FFBFBFBF"/>
      </bottom>
      <diagonal/>
    </border>
    <border>
      <left/>
      <right/>
      <top style="thin">
        <color rgb="FFBFBFBF"/>
      </top>
      <bottom style="thin">
        <color rgb="FFBFBFBF"/>
      </bottom>
      <diagonal/>
    </border>
  </borders>
  <cellStyleXfs count="1">
    <xf numFmtId="0" fontId="0" fillId="0" borderId="0"/>
  </cellStyleXfs>
  <cellXfs count="239">
    <xf numFmtId="0" fontId="0" fillId="0" borderId="0" xfId="0"/>
    <xf numFmtId="0" fontId="24" fillId="0" borderId="0" xfId="0" applyFont="1" applyAlignment="1">
      <alignment vertical="top" wrapText="1"/>
    </xf>
    <xf numFmtId="0" fontId="44" fillId="2" borderId="1" xfId="0" applyFont="1" applyFill="1" applyBorder="1" applyAlignment="1">
      <alignment horizontal="center" vertical="center"/>
    </xf>
    <xf numFmtId="0" fontId="15" fillId="13" borderId="0" xfId="0" applyFont="1" applyFill="1" applyAlignment="1">
      <alignment horizontal="center" vertical="top"/>
    </xf>
    <xf numFmtId="0" fontId="15" fillId="13" borderId="0" xfId="0" applyFont="1" applyFill="1" applyAlignment="1">
      <alignment horizontal="center" vertical="center"/>
    </xf>
    <xf numFmtId="0" fontId="24" fillId="0" borderId="0" xfId="0" applyFont="1" applyAlignment="1">
      <alignment vertical="center" wrapText="1"/>
    </xf>
    <xf numFmtId="0" fontId="15" fillId="14" borderId="0" xfId="0" applyFont="1" applyFill="1" applyAlignment="1">
      <alignment horizontal="center" vertical="top"/>
    </xf>
    <xf numFmtId="0" fontId="15" fillId="14" borderId="0" xfId="0" applyFont="1" applyFill="1" applyAlignment="1">
      <alignment horizontal="center" vertical="center"/>
    </xf>
    <xf numFmtId="0" fontId="24" fillId="9" borderId="1" xfId="0" applyFont="1" applyFill="1" applyBorder="1" applyAlignment="1">
      <alignment vertical="center"/>
    </xf>
    <xf numFmtId="0" fontId="50" fillId="0" borderId="0" xfId="0" applyFont="1" applyAlignment="1">
      <alignment vertical="center"/>
    </xf>
    <xf numFmtId="0" fontId="24" fillId="8" borderId="1" xfId="0" applyFont="1" applyFill="1" applyBorder="1" applyAlignment="1">
      <alignment vertical="center"/>
    </xf>
    <xf numFmtId="0" fontId="25" fillId="0" borderId="0" xfId="0" applyFont="1" applyAlignment="1">
      <alignment vertical="center"/>
    </xf>
    <xf numFmtId="0" fontId="24" fillId="4" borderId="1" xfId="0" applyFont="1" applyFill="1" applyBorder="1" applyAlignment="1">
      <alignment vertical="center"/>
    </xf>
    <xf numFmtId="0" fontId="55" fillId="0" borderId="0" xfId="0" applyFont="1" applyAlignment="1">
      <alignment vertical="center"/>
    </xf>
    <xf numFmtId="0" fontId="24" fillId="6" borderId="1" xfId="0" applyFont="1" applyFill="1" applyBorder="1" applyAlignment="1">
      <alignment vertical="center"/>
    </xf>
    <xf numFmtId="0" fontId="64" fillId="0" borderId="0" xfId="0" applyFont="1" applyAlignment="1">
      <alignment vertical="center"/>
    </xf>
    <xf numFmtId="0" fontId="24" fillId="13" borderId="1" xfId="0" applyFont="1" applyFill="1" applyBorder="1" applyAlignment="1">
      <alignment vertical="center"/>
    </xf>
    <xf numFmtId="0" fontId="7" fillId="0" borderId="0" xfId="0" applyFont="1" applyAlignment="1">
      <alignment vertical="center"/>
    </xf>
    <xf numFmtId="0" fontId="24" fillId="14" borderId="1" xfId="0" applyFont="1" applyFill="1" applyBorder="1" applyAlignment="1">
      <alignment vertical="center"/>
    </xf>
    <xf numFmtId="0" fontId="24" fillId="15" borderId="1" xfId="0" applyFont="1" applyFill="1" applyBorder="1" applyAlignment="1">
      <alignment vertical="center"/>
    </xf>
    <xf numFmtId="0" fontId="60" fillId="0" borderId="0" xfId="0" applyFont="1" applyAlignment="1">
      <alignment horizontal="center" vertical="center"/>
    </xf>
    <xf numFmtId="0" fontId="7" fillId="0" borderId="0" xfId="0" applyFont="1" applyAlignment="1">
      <alignment vertical="center" wrapText="1"/>
    </xf>
    <xf numFmtId="0" fontId="28" fillId="9" borderId="1" xfId="0" applyFont="1" applyFill="1" applyBorder="1" applyAlignment="1" applyProtection="1">
      <alignment horizontal="center" vertical="center"/>
      <protection locked="0"/>
    </xf>
    <xf numFmtId="0" fontId="29" fillId="0" borderId="0" xfId="0" applyFont="1" applyAlignment="1">
      <alignment vertical="center" wrapText="1"/>
    </xf>
    <xf numFmtId="1" fontId="28" fillId="9" borderId="1" xfId="0" applyNumberFormat="1" applyFont="1" applyFill="1" applyBorder="1" applyAlignment="1" applyProtection="1">
      <alignment horizontal="center" vertical="center"/>
      <protection locked="0"/>
    </xf>
    <xf numFmtId="165" fontId="30" fillId="8" borderId="1" xfId="0" applyNumberFormat="1" applyFont="1" applyFill="1" applyBorder="1" applyAlignment="1">
      <alignment horizontal="center" vertical="center"/>
    </xf>
    <xf numFmtId="3" fontId="28" fillId="9" borderId="1" xfId="0" applyNumberFormat="1" applyFont="1" applyFill="1" applyBorder="1" applyAlignment="1" applyProtection="1">
      <alignment horizontal="center" vertical="center"/>
      <protection locked="0"/>
    </xf>
    <xf numFmtId="0" fontId="5" fillId="3" borderId="1" xfId="0" applyFont="1" applyFill="1" applyBorder="1" applyAlignment="1">
      <alignment horizontal="center" vertical="center" wrapText="1"/>
    </xf>
    <xf numFmtId="0" fontId="23" fillId="9" borderId="1" xfId="0" applyFont="1" applyFill="1" applyBorder="1" applyAlignment="1" applyProtection="1">
      <alignment horizontal="left" vertical="center"/>
      <protection locked="0"/>
    </xf>
    <xf numFmtId="0" fontId="23" fillId="9" borderId="1" xfId="0" applyFont="1" applyFill="1" applyBorder="1" applyAlignment="1" applyProtection="1">
      <alignment horizontal="center" vertical="center"/>
      <protection locked="0"/>
    </xf>
    <xf numFmtId="3" fontId="25" fillId="8" borderId="1" xfId="0" applyNumberFormat="1" applyFont="1" applyFill="1" applyBorder="1" applyAlignment="1">
      <alignment horizontal="center" vertical="center"/>
    </xf>
    <xf numFmtId="0" fontId="25" fillId="11" borderId="1" xfId="0" applyFont="1" applyFill="1" applyBorder="1" applyAlignment="1">
      <alignment horizontal="center" vertical="center"/>
    </xf>
    <xf numFmtId="0" fontId="14" fillId="0" borderId="0" xfId="0" applyFont="1" applyAlignment="1">
      <alignment vertical="center"/>
    </xf>
    <xf numFmtId="0" fontId="60" fillId="0" borderId="0" xfId="0" applyFont="1" applyAlignment="1">
      <alignment horizontal="center" vertical="top"/>
    </xf>
    <xf numFmtId="0" fontId="41" fillId="0" borderId="0" xfId="0" applyFont="1" applyAlignment="1">
      <alignment horizontal="center" vertical="center"/>
    </xf>
    <xf numFmtId="0" fontId="28" fillId="9" borderId="1" xfId="0" applyFont="1" applyFill="1" applyBorder="1" applyAlignment="1" applyProtection="1">
      <alignment horizontal="left" vertical="center"/>
      <protection locked="0"/>
    </xf>
    <xf numFmtId="1" fontId="19" fillId="8" borderId="1" xfId="0" applyNumberFormat="1" applyFont="1" applyFill="1" applyBorder="1" applyAlignment="1">
      <alignment horizontal="center" vertical="center"/>
    </xf>
    <xf numFmtId="165" fontId="28" fillId="9" borderId="1" xfId="0" applyNumberFormat="1" applyFont="1" applyFill="1" applyBorder="1" applyAlignment="1" applyProtection="1">
      <alignment horizontal="center" vertical="center"/>
      <protection locked="0"/>
    </xf>
    <xf numFmtId="167" fontId="28" fillId="9" borderId="1" xfId="0" applyNumberFormat="1" applyFont="1" applyFill="1" applyBorder="1" applyAlignment="1" applyProtection="1">
      <alignment horizontal="right" vertical="center"/>
      <protection locked="0"/>
    </xf>
    <xf numFmtId="0" fontId="37" fillId="9" borderId="1" xfId="0" applyFont="1" applyFill="1" applyBorder="1" applyAlignment="1" applyProtection="1">
      <alignment horizontal="center" vertical="center"/>
      <protection locked="0"/>
    </xf>
    <xf numFmtId="0" fontId="35" fillId="9" borderId="1" xfId="0" applyFont="1" applyFill="1" applyBorder="1" applyAlignment="1" applyProtection="1">
      <alignment horizontal="left" vertical="center"/>
      <protection locked="0"/>
    </xf>
    <xf numFmtId="0" fontId="34" fillId="5" borderId="1" xfId="0" applyFont="1" applyFill="1" applyBorder="1" applyAlignment="1">
      <alignment horizontal="center" vertical="center"/>
    </xf>
    <xf numFmtId="0" fontId="38" fillId="5" borderId="1" xfId="0" applyFont="1" applyFill="1" applyBorder="1" applyAlignment="1">
      <alignment horizontal="left" vertical="center"/>
    </xf>
    <xf numFmtId="0" fontId="27" fillId="5" borderId="1" xfId="0" applyFont="1" applyFill="1" applyBorder="1" applyAlignment="1">
      <alignment vertical="top" wrapText="1"/>
    </xf>
    <xf numFmtId="0" fontId="39" fillId="5" borderId="1" xfId="0" applyFont="1" applyFill="1" applyBorder="1" applyAlignment="1">
      <alignment horizontal="center" vertical="center"/>
    </xf>
    <xf numFmtId="0" fontId="34" fillId="7" borderId="1" xfId="0" applyFont="1" applyFill="1" applyBorder="1" applyAlignment="1">
      <alignment horizontal="center" vertical="center"/>
    </xf>
    <xf numFmtId="0" fontId="38" fillId="7" borderId="1" xfId="0" applyFont="1" applyFill="1" applyBorder="1" applyAlignment="1">
      <alignment horizontal="left" vertical="center"/>
    </xf>
    <xf numFmtId="0" fontId="27" fillId="7" borderId="1" xfId="0" applyFont="1" applyFill="1" applyBorder="1" applyAlignment="1">
      <alignment vertical="top" wrapText="1"/>
    </xf>
    <xf numFmtId="0" fontId="39" fillId="7" borderId="1" xfId="0" applyFont="1" applyFill="1" applyBorder="1" applyAlignment="1">
      <alignment horizontal="center" vertical="center"/>
    </xf>
    <xf numFmtId="3" fontId="25" fillId="8" borderId="1" xfId="0" applyNumberFormat="1" applyFont="1" applyFill="1" applyBorder="1" applyAlignment="1">
      <alignment horizontal="right" vertical="center"/>
    </xf>
    <xf numFmtId="167" fontId="25" fillId="8" borderId="1" xfId="0" applyNumberFormat="1" applyFont="1" applyFill="1" applyBorder="1" applyAlignment="1">
      <alignment horizontal="right" vertical="center"/>
    </xf>
    <xf numFmtId="0" fontId="7" fillId="11" borderId="1" xfId="0" applyFont="1" applyFill="1" applyBorder="1" applyAlignment="1">
      <alignment vertical="center"/>
    </xf>
    <xf numFmtId="0" fontId="22" fillId="5" borderId="1" xfId="0" applyFont="1" applyFill="1" applyBorder="1" applyAlignment="1">
      <alignment horizontal="center" vertical="center"/>
    </xf>
    <xf numFmtId="0" fontId="34" fillId="5" borderId="1" xfId="0" applyFont="1" applyFill="1" applyBorder="1" applyAlignment="1">
      <alignment horizontal="left" vertical="center"/>
    </xf>
    <xf numFmtId="0" fontId="6" fillId="5" borderId="1" xfId="0" applyFont="1" applyFill="1" applyBorder="1" applyAlignment="1">
      <alignment vertical="center"/>
    </xf>
    <xf numFmtId="168" fontId="23" fillId="9" borderId="1" xfId="0" applyNumberFormat="1" applyFont="1" applyFill="1" applyBorder="1" applyAlignment="1" applyProtection="1">
      <alignment horizontal="center" vertical="center"/>
      <protection locked="0"/>
    </xf>
    <xf numFmtId="167" fontId="30" fillId="5" borderId="1" xfId="0" applyNumberFormat="1" applyFont="1" applyFill="1" applyBorder="1" applyAlignment="1">
      <alignment horizontal="right" vertical="center"/>
    </xf>
    <xf numFmtId="0" fontId="35" fillId="9" borderId="1" xfId="0" applyFont="1" applyFill="1" applyBorder="1" applyAlignment="1" applyProtection="1">
      <alignment horizontal="center" vertical="center"/>
      <protection locked="0"/>
    </xf>
    <xf numFmtId="0" fontId="22" fillId="8" borderId="1" xfId="0" applyFont="1" applyFill="1" applyBorder="1" applyAlignment="1">
      <alignment horizontal="left" vertical="center"/>
    </xf>
    <xf numFmtId="3" fontId="22" fillId="8" borderId="1" xfId="0" applyNumberFormat="1" applyFont="1" applyFill="1" applyBorder="1" applyAlignment="1">
      <alignment horizontal="center" vertical="center"/>
    </xf>
    <xf numFmtId="0" fontId="22" fillId="7" borderId="1" xfId="0" applyFont="1" applyFill="1" applyBorder="1" applyAlignment="1">
      <alignment horizontal="center" vertical="center"/>
    </xf>
    <xf numFmtId="0" fontId="34" fillId="7" borderId="1" xfId="0" applyFont="1" applyFill="1" applyBorder="1" applyAlignment="1">
      <alignment horizontal="left" vertical="center"/>
    </xf>
    <xf numFmtId="0" fontId="6" fillId="7" borderId="1" xfId="0" applyFont="1" applyFill="1" applyBorder="1" applyAlignment="1">
      <alignment vertical="center"/>
    </xf>
    <xf numFmtId="167" fontId="30" fillId="7" borderId="1" xfId="0" applyNumberFormat="1" applyFont="1" applyFill="1" applyBorder="1" applyAlignment="1">
      <alignment horizontal="right" vertical="center"/>
    </xf>
    <xf numFmtId="0" fontId="19" fillId="5" borderId="1" xfId="0" applyFont="1" applyFill="1" applyBorder="1" applyAlignment="1">
      <alignment horizontal="center" vertical="center"/>
    </xf>
    <xf numFmtId="167" fontId="25" fillId="5" borderId="1" xfId="0" applyNumberFormat="1" applyFont="1" applyFill="1" applyBorder="1" applyAlignment="1">
      <alignment horizontal="right" vertical="center"/>
    </xf>
    <xf numFmtId="0" fontId="43" fillId="5" borderId="1" xfId="0" applyFont="1" applyFill="1" applyBorder="1" applyAlignment="1">
      <alignment horizontal="center" vertical="center"/>
    </xf>
    <xf numFmtId="0" fontId="19" fillId="7" borderId="1" xfId="0" applyFont="1" applyFill="1" applyBorder="1" applyAlignment="1">
      <alignment horizontal="center" vertical="center"/>
    </xf>
    <xf numFmtId="167" fontId="25" fillId="7" borderId="1" xfId="0" applyNumberFormat="1" applyFont="1" applyFill="1" applyBorder="1" applyAlignment="1">
      <alignment horizontal="right" vertical="center"/>
    </xf>
    <xf numFmtId="0" fontId="43" fillId="7" borderId="1" xfId="0" applyFont="1" applyFill="1" applyBorder="1" applyAlignment="1">
      <alignment horizontal="center" vertical="center"/>
    </xf>
    <xf numFmtId="0" fontId="7" fillId="11" borderId="1" xfId="0" applyFont="1" applyFill="1" applyBorder="1" applyAlignment="1">
      <alignment horizontal="right" vertical="center"/>
    </xf>
    <xf numFmtId="167" fontId="25" fillId="11" borderId="1" xfId="0" applyNumberFormat="1" applyFont="1" applyFill="1" applyBorder="1" applyAlignment="1">
      <alignment horizontal="right" vertical="center"/>
    </xf>
    <xf numFmtId="3" fontId="25" fillId="11" borderId="1" xfId="0" applyNumberFormat="1" applyFont="1" applyFill="1" applyBorder="1" applyAlignment="1">
      <alignment horizontal="center" vertical="center"/>
    </xf>
    <xf numFmtId="0" fontId="8" fillId="7" borderId="1" xfId="0" applyFont="1" applyFill="1" applyBorder="1" applyAlignment="1">
      <alignment horizontal="center" vertical="center"/>
    </xf>
    <xf numFmtId="0" fontId="13" fillId="7" borderId="1" xfId="0" applyFont="1" applyFill="1" applyBorder="1" applyAlignment="1">
      <alignment vertical="center" wrapText="1"/>
    </xf>
    <xf numFmtId="0" fontId="8" fillId="5" borderId="1" xfId="0" applyFont="1" applyFill="1" applyBorder="1" applyAlignment="1">
      <alignment horizontal="center" vertical="center"/>
    </xf>
    <xf numFmtId="0" fontId="13" fillId="5" borderId="1" xfId="0" applyFont="1" applyFill="1" applyBorder="1" applyAlignment="1">
      <alignment vertical="center" wrapText="1"/>
    </xf>
    <xf numFmtId="165" fontId="30" fillId="5" borderId="1" xfId="0" applyNumberFormat="1" applyFont="1" applyFill="1" applyBorder="1" applyAlignment="1">
      <alignment horizontal="center" vertical="center"/>
    </xf>
    <xf numFmtId="165" fontId="30" fillId="7" borderId="1" xfId="0" applyNumberFormat="1" applyFont="1" applyFill="1" applyBorder="1" applyAlignment="1">
      <alignment horizontal="center" vertical="center"/>
    </xf>
    <xf numFmtId="169" fontId="28" fillId="9" borderId="1" xfId="0" applyNumberFormat="1" applyFont="1" applyFill="1" applyBorder="1" applyAlignment="1" applyProtection="1">
      <alignment horizontal="right" vertical="center"/>
      <protection locked="0"/>
    </xf>
    <xf numFmtId="164" fontId="30" fillId="5" borderId="1" xfId="0" applyNumberFormat="1" applyFont="1" applyFill="1" applyBorder="1" applyAlignment="1">
      <alignment horizontal="center" vertical="center"/>
    </xf>
    <xf numFmtId="164" fontId="30" fillId="7" borderId="1" xfId="0" applyNumberFormat="1" applyFont="1" applyFill="1" applyBorder="1" applyAlignment="1">
      <alignment horizontal="center" vertical="center"/>
    </xf>
    <xf numFmtId="169" fontId="25" fillId="11" borderId="1" xfId="0" applyNumberFormat="1" applyFont="1" applyFill="1" applyBorder="1" applyAlignment="1">
      <alignment horizontal="right" vertical="center"/>
    </xf>
    <xf numFmtId="0" fontId="19" fillId="0" borderId="0" xfId="0" applyFont="1" applyAlignment="1">
      <alignment horizontal="right" vertical="center"/>
    </xf>
    <xf numFmtId="169" fontId="19" fillId="8" borderId="1" xfId="0" applyNumberFormat="1" applyFont="1" applyFill="1" applyBorder="1" applyAlignment="1">
      <alignment horizontal="right" vertical="center"/>
    </xf>
    <xf numFmtId="167" fontId="19" fillId="8" borderId="1" xfId="0" applyNumberFormat="1" applyFont="1" applyFill="1" applyBorder="1" applyAlignment="1">
      <alignment horizontal="right" vertical="center"/>
    </xf>
    <xf numFmtId="0" fontId="47" fillId="0" borderId="0" xfId="0" applyFont="1" applyAlignment="1">
      <alignment vertical="center"/>
    </xf>
    <xf numFmtId="0" fontId="24" fillId="0" borderId="1" xfId="0" applyFont="1" applyBorder="1" applyAlignment="1">
      <alignment vertical="center"/>
    </xf>
    <xf numFmtId="166" fontId="24" fillId="8" borderId="1" xfId="0" applyNumberFormat="1" applyFont="1" applyFill="1" applyBorder="1" applyAlignment="1">
      <alignment horizontal="right" vertical="center"/>
    </xf>
    <xf numFmtId="0" fontId="8" fillId="0" borderId="1" xfId="0" applyFont="1" applyBorder="1" applyAlignment="1">
      <alignment vertical="center"/>
    </xf>
    <xf numFmtId="166" fontId="19" fillId="8" borderId="1" xfId="0" applyNumberFormat="1" applyFont="1" applyFill="1" applyBorder="1" applyAlignment="1">
      <alignment horizontal="right" vertical="center"/>
    </xf>
    <xf numFmtId="0" fontId="5" fillId="2" borderId="1" xfId="0" applyFont="1" applyFill="1" applyBorder="1" applyAlignment="1">
      <alignment horizontal="center" vertical="center"/>
    </xf>
    <xf numFmtId="0" fontId="24" fillId="2" borderId="1" xfId="0" applyFont="1" applyFill="1" applyBorder="1" applyAlignment="1">
      <alignment vertical="center"/>
    </xf>
    <xf numFmtId="0" fontId="48" fillId="11" borderId="1" xfId="0" applyFont="1" applyFill="1" applyBorder="1" applyAlignment="1">
      <alignment vertical="center"/>
    </xf>
    <xf numFmtId="166" fontId="49" fillId="11" borderId="1" xfId="0" applyNumberFormat="1" applyFont="1" applyFill="1" applyBorder="1" applyAlignment="1">
      <alignment horizontal="right" vertical="center"/>
    </xf>
    <xf numFmtId="168" fontId="24" fillId="8" borderId="1" xfId="0" applyNumberFormat="1" applyFont="1" applyFill="1" applyBorder="1" applyAlignment="1">
      <alignment horizontal="right" vertical="center"/>
    </xf>
    <xf numFmtId="167" fontId="25" fillId="8" borderId="1" xfId="0" applyNumberFormat="1" applyFont="1" applyFill="1" applyBorder="1" applyAlignment="1">
      <alignment horizontal="center" vertical="center"/>
    </xf>
    <xf numFmtId="0" fontId="5" fillId="3" borderId="1" xfId="0" applyFont="1" applyFill="1" applyBorder="1" applyAlignment="1">
      <alignment horizontal="center" vertical="center"/>
    </xf>
    <xf numFmtId="0" fontId="24" fillId="3" borderId="1" xfId="0" applyFont="1" applyFill="1" applyBorder="1" applyAlignment="1">
      <alignment vertical="center"/>
    </xf>
    <xf numFmtId="3" fontId="50" fillId="12" borderId="1" xfId="0" applyNumberFormat="1" applyFont="1" applyFill="1" applyBorder="1" applyAlignment="1">
      <alignment horizontal="center" vertical="center"/>
    </xf>
    <xf numFmtId="170" fontId="40" fillId="7" borderId="1" xfId="0" applyNumberFormat="1" applyFont="1" applyFill="1" applyBorder="1" applyAlignment="1">
      <alignment vertical="center"/>
    </xf>
    <xf numFmtId="166" fontId="52" fillId="7" borderId="1" xfId="0" applyNumberFormat="1" applyFont="1" applyFill="1" applyBorder="1" applyAlignment="1">
      <alignment horizontal="right" vertical="center"/>
    </xf>
    <xf numFmtId="166" fontId="53" fillId="7" borderId="1" xfId="0" applyNumberFormat="1" applyFont="1" applyFill="1" applyBorder="1" applyAlignment="1">
      <alignment horizontal="right" vertical="center"/>
    </xf>
    <xf numFmtId="170" fontId="40" fillId="5" borderId="1" xfId="0" applyNumberFormat="1" applyFont="1" applyFill="1" applyBorder="1" applyAlignment="1">
      <alignment vertical="center"/>
    </xf>
    <xf numFmtId="166" fontId="52" fillId="5" borderId="1" xfId="0" applyNumberFormat="1" applyFont="1" applyFill="1" applyBorder="1" applyAlignment="1">
      <alignment horizontal="right" vertical="center"/>
    </xf>
    <xf numFmtId="166" fontId="53" fillId="5" borderId="1" xfId="0" applyNumberFormat="1" applyFont="1" applyFill="1" applyBorder="1" applyAlignment="1">
      <alignment horizontal="right" vertical="center"/>
    </xf>
    <xf numFmtId="166" fontId="25" fillId="11" borderId="1" xfId="0" applyNumberFormat="1" applyFont="1" applyFill="1" applyBorder="1" applyAlignment="1">
      <alignment horizontal="right" vertical="center"/>
    </xf>
    <xf numFmtId="0" fontId="32" fillId="0" borderId="1" xfId="0" applyFont="1" applyBorder="1" applyAlignment="1">
      <alignment vertical="center"/>
    </xf>
    <xf numFmtId="166" fontId="25" fillId="8" borderId="1" xfId="0" applyNumberFormat="1" applyFont="1" applyFill="1" applyBorder="1" applyAlignment="1">
      <alignment horizontal="right" vertical="center"/>
    </xf>
    <xf numFmtId="3" fontId="30" fillId="8" borderId="1" xfId="0" applyNumberFormat="1" applyFont="1" applyFill="1" applyBorder="1" applyAlignment="1">
      <alignment horizontal="right" vertical="center"/>
    </xf>
    <xf numFmtId="168" fontId="25" fillId="8" borderId="1" xfId="0" applyNumberFormat="1" applyFont="1" applyFill="1" applyBorder="1" applyAlignment="1">
      <alignment horizontal="right" vertical="center"/>
    </xf>
    <xf numFmtId="169" fontId="30" fillId="8" borderId="1" xfId="0" applyNumberFormat="1" applyFont="1" applyFill="1" applyBorder="1" applyAlignment="1">
      <alignment horizontal="right" vertical="center"/>
    </xf>
    <xf numFmtId="0" fontId="40" fillId="11" borderId="1" xfId="0" applyFont="1" applyFill="1" applyBorder="1" applyAlignment="1">
      <alignment vertical="center"/>
    </xf>
    <xf numFmtId="171" fontId="5" fillId="3"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7" borderId="1" xfId="0" applyFont="1" applyFill="1" applyBorder="1" applyAlignment="1">
      <alignment horizontal="center" vertical="center" wrapText="1"/>
    </xf>
    <xf numFmtId="0" fontId="8" fillId="7" borderId="1" xfId="0" applyFont="1" applyFill="1" applyBorder="1" applyAlignment="1">
      <alignment horizontal="left" vertical="center" indent="2"/>
    </xf>
    <xf numFmtId="166" fontId="19" fillId="7" borderId="1" xfId="0" applyNumberFormat="1" applyFont="1" applyFill="1" applyBorder="1" applyAlignment="1">
      <alignment horizontal="right" vertical="center"/>
    </xf>
    <xf numFmtId="166" fontId="33" fillId="7" borderId="1" xfId="0" applyNumberFormat="1" applyFont="1" applyFill="1" applyBorder="1" applyAlignment="1">
      <alignment horizontal="right" vertical="center"/>
    </xf>
    <xf numFmtId="0" fontId="18" fillId="5" borderId="1" xfId="0" applyFont="1" applyFill="1" applyBorder="1" applyAlignment="1">
      <alignment horizontal="center" vertical="center" wrapText="1"/>
    </xf>
    <xf numFmtId="0" fontId="8" fillId="5" borderId="1" xfId="0" applyFont="1" applyFill="1" applyBorder="1" applyAlignment="1">
      <alignment horizontal="left" vertical="center" indent="2"/>
    </xf>
    <xf numFmtId="166" fontId="19" fillId="5" borderId="1" xfId="0" applyNumberFormat="1" applyFont="1" applyFill="1" applyBorder="1" applyAlignment="1">
      <alignment horizontal="right" vertical="center"/>
    </xf>
    <xf numFmtId="166" fontId="33" fillId="5" borderId="1" xfId="0" applyNumberFormat="1" applyFont="1" applyFill="1" applyBorder="1" applyAlignment="1">
      <alignment horizontal="right" vertical="center"/>
    </xf>
    <xf numFmtId="0" fontId="18" fillId="11" borderId="1" xfId="0" applyFont="1" applyFill="1" applyBorder="1" applyAlignment="1">
      <alignment horizontal="center" vertical="center" wrapText="1"/>
    </xf>
    <xf numFmtId="166" fontId="39" fillId="11" borderId="1" xfId="0" applyNumberFormat="1" applyFont="1" applyFill="1" applyBorder="1" applyAlignment="1">
      <alignment horizontal="right" vertical="center"/>
    </xf>
    <xf numFmtId="166" fontId="33" fillId="11" borderId="1" xfId="0" applyNumberFormat="1" applyFont="1" applyFill="1" applyBorder="1" applyAlignment="1">
      <alignment horizontal="right" vertical="center"/>
    </xf>
    <xf numFmtId="0" fontId="5" fillId="3" borderId="1" xfId="0" applyFont="1" applyFill="1" applyBorder="1" applyAlignment="1">
      <alignment vertical="center"/>
    </xf>
    <xf numFmtId="166" fontId="52" fillId="8" borderId="1" xfId="0" applyNumberFormat="1" applyFont="1" applyFill="1" applyBorder="1" applyAlignment="1">
      <alignment horizontal="right" vertical="center"/>
    </xf>
    <xf numFmtId="166" fontId="53" fillId="8" borderId="1" xfId="0" applyNumberFormat="1" applyFont="1" applyFill="1" applyBorder="1" applyAlignment="1">
      <alignment horizontal="right" vertical="center"/>
    </xf>
    <xf numFmtId="0" fontId="8" fillId="5" borderId="1" xfId="0" applyFont="1" applyFill="1" applyBorder="1" applyAlignment="1">
      <alignment vertical="center"/>
    </xf>
    <xf numFmtId="0" fontId="17" fillId="5" borderId="1" xfId="0" applyFont="1" applyFill="1" applyBorder="1" applyAlignment="1">
      <alignment horizontal="center" vertical="center"/>
    </xf>
    <xf numFmtId="0" fontId="8" fillId="7" borderId="1" xfId="0" applyFont="1" applyFill="1" applyBorder="1" applyAlignment="1">
      <alignment vertical="center"/>
    </xf>
    <xf numFmtId="0" fontId="17" fillId="7" borderId="1" xfId="0" applyFont="1" applyFill="1" applyBorder="1" applyAlignment="1">
      <alignment horizontal="center" vertical="center"/>
    </xf>
    <xf numFmtId="0" fontId="21" fillId="5"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1" xfId="0" applyFont="1" applyFill="1" applyBorder="1" applyAlignment="1">
      <alignment vertical="center" wrapText="1"/>
    </xf>
    <xf numFmtId="0" fontId="22" fillId="7" borderId="1" xfId="0" applyFont="1" applyFill="1" applyBorder="1" applyAlignment="1">
      <alignment vertical="center" wrapText="1"/>
    </xf>
    <xf numFmtId="0" fontId="8" fillId="4" borderId="1" xfId="0" applyFont="1" applyFill="1" applyBorder="1" applyAlignment="1">
      <alignment horizontal="center" vertical="center"/>
    </xf>
    <xf numFmtId="0" fontId="6" fillId="4" borderId="1" xfId="0" applyFont="1" applyFill="1" applyBorder="1" applyAlignment="1">
      <alignment vertical="center"/>
    </xf>
    <xf numFmtId="0" fontId="8" fillId="4" borderId="1" xfId="0" applyFont="1" applyFill="1" applyBorder="1" applyAlignment="1">
      <alignment vertical="center"/>
    </xf>
    <xf numFmtId="0" fontId="21" fillId="4" borderId="1" xfId="0" applyFont="1" applyFill="1" applyBorder="1" applyAlignment="1">
      <alignment horizontal="center" vertical="center"/>
    </xf>
    <xf numFmtId="0" fontId="22" fillId="4" borderId="1" xfId="0" applyFont="1" applyFill="1" applyBorder="1" applyAlignment="1">
      <alignment vertical="center" wrapText="1"/>
    </xf>
    <xf numFmtId="3" fontId="23" fillId="9" borderId="1" xfId="0" applyNumberFormat="1" applyFont="1" applyFill="1" applyBorder="1" applyAlignment="1" applyProtection="1">
      <alignment horizontal="center" vertical="center"/>
      <protection locked="0"/>
    </xf>
    <xf numFmtId="0" fontId="8" fillId="7" borderId="1" xfId="0" applyFont="1" applyFill="1" applyBorder="1" applyAlignment="1">
      <alignment horizontal="left" vertical="center"/>
    </xf>
    <xf numFmtId="0" fontId="26" fillId="7" borderId="1" xfId="0" applyFont="1" applyFill="1" applyBorder="1" applyAlignment="1">
      <alignment horizontal="center" vertical="center"/>
    </xf>
    <xf numFmtId="0" fontId="27" fillId="7" borderId="1" xfId="0" applyFont="1" applyFill="1" applyBorder="1" applyAlignment="1">
      <alignment vertical="center" wrapText="1"/>
    </xf>
    <xf numFmtId="0" fontId="8" fillId="5" borderId="1" xfId="0" applyFont="1" applyFill="1" applyBorder="1" applyAlignment="1">
      <alignment horizontal="left" vertical="center"/>
    </xf>
    <xf numFmtId="0" fontId="26" fillId="5" borderId="1" xfId="0" applyFont="1" applyFill="1" applyBorder="1" applyAlignment="1">
      <alignment horizontal="center" vertical="center"/>
    </xf>
    <xf numFmtId="0" fontId="27" fillId="5" borderId="1" xfId="0" applyFont="1" applyFill="1" applyBorder="1" applyAlignment="1">
      <alignment vertical="center" wrapText="1"/>
    </xf>
    <xf numFmtId="0" fontId="6" fillId="5" borderId="1" xfId="0" applyFont="1" applyFill="1" applyBorder="1" applyAlignment="1">
      <alignment vertical="center" wrapText="1"/>
    </xf>
    <xf numFmtId="164" fontId="7" fillId="5" borderId="1" xfId="0" applyNumberFormat="1" applyFont="1" applyFill="1" applyBorder="1" applyAlignment="1">
      <alignment horizontal="center" vertical="center"/>
    </xf>
    <xf numFmtId="165" fontId="8" fillId="5" borderId="1" xfId="0" applyNumberFormat="1" applyFont="1" applyFill="1" applyBorder="1" applyAlignment="1">
      <alignment horizontal="center" vertical="center"/>
    </xf>
    <xf numFmtId="0" fontId="9" fillId="5" borderId="1" xfId="0" applyFont="1" applyFill="1" applyBorder="1" applyAlignment="1">
      <alignment vertical="center" wrapText="1"/>
    </xf>
    <xf numFmtId="165" fontId="9" fillId="5" borderId="1" xfId="0" applyNumberFormat="1" applyFont="1" applyFill="1" applyBorder="1" applyAlignment="1">
      <alignment horizontal="center" vertical="center"/>
    </xf>
    <xf numFmtId="0" fontId="10" fillId="6" borderId="1" xfId="0" applyFont="1" applyFill="1" applyBorder="1" applyAlignment="1">
      <alignment horizontal="center" vertical="center"/>
    </xf>
    <xf numFmtId="0" fontId="11" fillId="4" borderId="1" xfId="0" applyFont="1" applyFill="1" applyBorder="1" applyAlignment="1">
      <alignment horizontal="center" vertical="center"/>
    </xf>
    <xf numFmtId="0" fontId="12" fillId="5" borderId="1" xfId="0" applyFont="1" applyFill="1" applyBorder="1" applyAlignment="1">
      <alignment vertical="center"/>
    </xf>
    <xf numFmtId="0" fontId="6" fillId="7" borderId="1" xfId="0" applyFont="1" applyFill="1" applyBorder="1" applyAlignment="1">
      <alignment vertical="center" wrapText="1"/>
    </xf>
    <xf numFmtId="164" fontId="7" fillId="7" borderId="1" xfId="0" applyNumberFormat="1" applyFont="1" applyFill="1" applyBorder="1" applyAlignment="1">
      <alignment horizontal="center" vertical="center"/>
    </xf>
    <xf numFmtId="165" fontId="8" fillId="7" borderId="1" xfId="0" applyNumberFormat="1" applyFont="1" applyFill="1" applyBorder="1" applyAlignment="1">
      <alignment horizontal="center" vertical="center"/>
    </xf>
    <xf numFmtId="0" fontId="9" fillId="7" borderId="1" xfId="0" applyFont="1" applyFill="1" applyBorder="1" applyAlignment="1">
      <alignment vertical="center" wrapText="1"/>
    </xf>
    <xf numFmtId="165" fontId="9" fillId="7" borderId="1" xfId="0" applyNumberFormat="1" applyFont="1" applyFill="1" applyBorder="1" applyAlignment="1">
      <alignment horizontal="center" vertical="center"/>
    </xf>
    <xf numFmtId="0" fontId="12" fillId="7" borderId="1" xfId="0" applyFont="1" applyFill="1" applyBorder="1" applyAlignment="1">
      <alignment vertical="center"/>
    </xf>
    <xf numFmtId="166" fontId="7" fillId="5" borderId="1" xfId="0" applyNumberFormat="1" applyFont="1" applyFill="1" applyBorder="1" applyAlignment="1">
      <alignment horizontal="center" vertical="center"/>
    </xf>
    <xf numFmtId="166" fontId="7" fillId="7" borderId="1" xfId="0" applyNumberFormat="1" applyFont="1" applyFill="1" applyBorder="1" applyAlignment="1">
      <alignment horizontal="center" vertical="center"/>
    </xf>
    <xf numFmtId="0" fontId="15" fillId="3" borderId="0" xfId="0" applyFont="1" applyFill="1" applyAlignment="1">
      <alignment vertical="center"/>
    </xf>
    <xf numFmtId="0" fontId="16" fillId="7" borderId="1" xfId="0" applyFont="1" applyFill="1" applyBorder="1" applyAlignment="1">
      <alignment horizontal="center" vertical="center"/>
    </xf>
    <xf numFmtId="0" fontId="8" fillId="7" borderId="1" xfId="0" applyFont="1" applyFill="1" applyBorder="1" applyAlignment="1">
      <alignment vertical="center" wrapText="1"/>
    </xf>
    <xf numFmtId="0" fontId="18" fillId="7" borderId="1" xfId="0" applyFont="1" applyFill="1" applyBorder="1" applyAlignment="1">
      <alignment horizontal="center" vertical="center"/>
    </xf>
    <xf numFmtId="0" fontId="16" fillId="5" borderId="1" xfId="0" applyFont="1" applyFill="1" applyBorder="1" applyAlignment="1">
      <alignment horizontal="center" vertical="center"/>
    </xf>
    <xf numFmtId="0" fontId="8" fillId="5" borderId="1" xfId="0" applyFont="1" applyFill="1" applyBorder="1" applyAlignment="1">
      <alignment vertical="center" wrapText="1"/>
    </xf>
    <xf numFmtId="0" fontId="18" fillId="5" borderId="1" xfId="0" applyFont="1" applyFill="1" applyBorder="1" applyAlignment="1">
      <alignment horizontal="center" vertical="center"/>
    </xf>
    <xf numFmtId="0" fontId="63" fillId="0" borderId="0" xfId="0" applyFont="1" applyAlignment="1">
      <alignment vertical="top" wrapText="1"/>
    </xf>
    <xf numFmtId="0" fontId="0" fillId="0" borderId="0" xfId="0"/>
    <xf numFmtId="0" fontId="1" fillId="2" borderId="0" xfId="0" applyFont="1" applyFill="1" applyAlignment="1">
      <alignment horizontal="left" vertical="center"/>
    </xf>
    <xf numFmtId="0" fontId="57" fillId="0" borderId="0" xfId="0" applyFont="1" applyAlignment="1">
      <alignment vertical="top" wrapText="1"/>
    </xf>
    <xf numFmtId="0" fontId="31" fillId="0" borderId="0" xfId="0" applyFont="1" applyAlignment="1">
      <alignment vertical="top" wrapText="1"/>
    </xf>
    <xf numFmtId="0" fontId="55" fillId="4" borderId="0" xfId="0" applyFont="1" applyFill="1" applyAlignment="1">
      <alignment vertical="top" wrapText="1"/>
    </xf>
    <xf numFmtId="0" fontId="15" fillId="2" borderId="0" xfId="0" applyFont="1" applyFill="1" applyAlignment="1">
      <alignment horizontal="left" vertical="center"/>
    </xf>
    <xf numFmtId="0" fontId="3" fillId="4" borderId="0" xfId="0" applyFont="1" applyFill="1" applyAlignment="1">
      <alignment horizontal="left" vertical="center"/>
    </xf>
    <xf numFmtId="0" fontId="2" fillId="3" borderId="0" xfId="0" applyFont="1" applyFill="1" applyAlignment="1">
      <alignment horizontal="left" vertical="center" wrapText="1"/>
    </xf>
    <xf numFmtId="0" fontId="24" fillId="0" borderId="0" xfId="0" applyFont="1" applyAlignment="1">
      <alignment vertical="top" wrapText="1"/>
    </xf>
    <xf numFmtId="0" fontId="29" fillId="0" borderId="0" xfId="0" applyFont="1" applyAlignment="1">
      <alignment vertical="top" wrapText="1"/>
    </xf>
    <xf numFmtId="0" fontId="61" fillId="0" borderId="0" xfId="0" applyFont="1" applyAlignment="1">
      <alignment vertical="top" wrapText="1"/>
    </xf>
    <xf numFmtId="0" fontId="20" fillId="8" borderId="0" xfId="0" applyFont="1" applyFill="1" applyAlignment="1">
      <alignment vertical="center" wrapText="1"/>
    </xf>
    <xf numFmtId="0" fontId="65" fillId="0" borderId="0" xfId="0" applyFont="1" applyAlignment="1">
      <alignment vertical="top" wrapText="1"/>
    </xf>
    <xf numFmtId="0" fontId="32" fillId="0" borderId="0" xfId="0" applyFont="1" applyAlignment="1">
      <alignment vertical="center" wrapText="1"/>
    </xf>
    <xf numFmtId="0" fontId="20" fillId="8" borderId="0" xfId="0" applyFont="1" applyFill="1" applyAlignment="1">
      <alignment vertical="center"/>
    </xf>
    <xf numFmtId="0" fontId="2" fillId="3" borderId="0" xfId="0" applyFont="1" applyFill="1" applyAlignment="1">
      <alignment horizontal="left" vertical="center"/>
    </xf>
    <xf numFmtId="0" fontId="32" fillId="0" borderId="0" xfId="0" applyFont="1" applyAlignment="1">
      <alignment vertical="top" wrapText="1"/>
    </xf>
    <xf numFmtId="0" fontId="6" fillId="0" borderId="1" xfId="0" applyFont="1" applyBorder="1" applyAlignment="1">
      <alignment vertical="center"/>
    </xf>
    <xf numFmtId="0" fontId="0" fillId="0" borderId="2" xfId="0" applyBorder="1"/>
    <xf numFmtId="0" fontId="4" fillId="4" borderId="0" xfId="0" applyFont="1" applyFill="1" applyAlignment="1">
      <alignment vertical="top" wrapText="1"/>
    </xf>
    <xf numFmtId="0" fontId="14" fillId="0" borderId="0" xfId="0" applyFont="1" applyAlignment="1">
      <alignment vertical="center"/>
    </xf>
    <xf numFmtId="0" fontId="6" fillId="11" borderId="1" xfId="0" applyFont="1" applyFill="1" applyBorder="1" applyAlignment="1">
      <alignment vertical="center"/>
    </xf>
    <xf numFmtId="0" fontId="33" fillId="12" borderId="0" xfId="0" applyFont="1" applyFill="1" applyAlignment="1">
      <alignment vertical="top" wrapText="1"/>
    </xf>
    <xf numFmtId="0" fontId="17" fillId="12" borderId="0" xfId="0" applyFont="1" applyFill="1" applyAlignment="1">
      <alignment vertical="top" wrapText="1"/>
    </xf>
    <xf numFmtId="0" fontId="5" fillId="10" borderId="0" xfId="0" applyFont="1" applyFill="1" applyAlignment="1">
      <alignment horizontal="left" vertical="center" wrapText="1"/>
    </xf>
    <xf numFmtId="0" fontId="62" fillId="12" borderId="1" xfId="0" applyFont="1" applyFill="1" applyBorder="1" applyAlignment="1">
      <alignment horizontal="left" vertical="top" wrapText="1"/>
    </xf>
    <xf numFmtId="0" fontId="7" fillId="0" borderId="0" xfId="0" applyFont="1" applyAlignment="1">
      <alignment vertical="top" wrapText="1"/>
    </xf>
    <xf numFmtId="0" fontId="7" fillId="0" borderId="0" xfId="0" applyFont="1" applyAlignment="1">
      <alignment vertical="center"/>
    </xf>
    <xf numFmtId="0" fontId="29" fillId="0" borderId="0" xfId="0" applyFont="1" applyAlignment="1">
      <alignment vertical="center"/>
    </xf>
    <xf numFmtId="0" fontId="28" fillId="9" borderId="1" xfId="0" applyFont="1" applyFill="1" applyBorder="1" applyAlignment="1" applyProtection="1">
      <alignment horizontal="left" vertical="center"/>
      <protection locked="0"/>
    </xf>
    <xf numFmtId="0" fontId="0" fillId="0" borderId="3" xfId="0" applyBorder="1" applyProtection="1">
      <protection locked="0"/>
    </xf>
    <xf numFmtId="0" fontId="0" fillId="0" borderId="2" xfId="0" applyBorder="1" applyProtection="1">
      <protection locked="0"/>
    </xf>
    <xf numFmtId="0" fontId="59" fillId="4" borderId="0" xfId="0" applyFont="1" applyFill="1" applyAlignment="1">
      <alignment vertical="top" wrapText="1"/>
    </xf>
    <xf numFmtId="0" fontId="40" fillId="0" borderId="1" xfId="0" applyFont="1" applyBorder="1" applyAlignment="1">
      <alignment vertical="center"/>
    </xf>
    <xf numFmtId="0" fontId="18" fillId="11" borderId="1" xfId="0" applyFont="1" applyFill="1" applyBorder="1" applyAlignment="1">
      <alignment horizontal="left" vertical="center"/>
    </xf>
    <xf numFmtId="167" fontId="28" fillId="9" borderId="1" xfId="0" applyNumberFormat="1" applyFont="1" applyFill="1" applyBorder="1" applyAlignment="1" applyProtection="1">
      <alignment horizontal="right" vertical="center"/>
      <protection locked="0"/>
    </xf>
    <xf numFmtId="0" fontId="36" fillId="3" borderId="1" xfId="0" applyFont="1" applyFill="1" applyBorder="1" applyAlignment="1">
      <alignment horizontal="center" vertical="center" wrapText="1"/>
    </xf>
    <xf numFmtId="0" fontId="7" fillId="11" borderId="1" xfId="0" applyFont="1" applyFill="1" applyBorder="1" applyAlignment="1">
      <alignment vertical="center"/>
    </xf>
    <xf numFmtId="0" fontId="23" fillId="9" borderId="1" xfId="0" applyFont="1" applyFill="1" applyBorder="1" applyAlignment="1" applyProtection="1">
      <alignment horizontal="left" vertical="center"/>
      <protection locked="0"/>
    </xf>
    <xf numFmtId="165" fontId="28" fillId="9" borderId="1" xfId="0" applyNumberFormat="1" applyFont="1" applyFill="1" applyBorder="1" applyAlignment="1" applyProtection="1">
      <alignment horizontal="center" vertical="center"/>
      <protection locked="0"/>
    </xf>
    <xf numFmtId="0" fontId="23" fillId="9" borderId="1" xfId="0" applyFont="1" applyFill="1" applyBorder="1" applyAlignment="1" applyProtection="1">
      <alignment horizontal="center" vertical="center"/>
      <protection locked="0"/>
    </xf>
    <xf numFmtId="0" fontId="0" fillId="0" borderId="3" xfId="0" applyBorder="1"/>
    <xf numFmtId="0" fontId="42" fillId="12" borderId="0" xfId="0" applyFont="1" applyFill="1" applyAlignment="1">
      <alignment vertical="top" wrapText="1"/>
    </xf>
    <xf numFmtId="0" fontId="7" fillId="11" borderId="1" xfId="0" applyFont="1" applyFill="1" applyBorder="1" applyAlignment="1">
      <alignment horizontal="right" vertical="center"/>
    </xf>
    <xf numFmtId="0" fontId="13" fillId="5" borderId="1" xfId="0" applyFont="1" applyFill="1" applyBorder="1" applyAlignment="1">
      <alignment vertical="center" wrapText="1"/>
    </xf>
    <xf numFmtId="0" fontId="45" fillId="0" borderId="0" xfId="0" applyFont="1" applyAlignment="1">
      <alignment vertical="top" wrapText="1"/>
    </xf>
    <xf numFmtId="0" fontId="13" fillId="7" borderId="1" xfId="0" applyFont="1" applyFill="1" applyBorder="1" applyAlignment="1">
      <alignment vertical="center" wrapText="1"/>
    </xf>
    <xf numFmtId="0" fontId="6" fillId="11" borderId="1" xfId="0" applyFont="1" applyFill="1" applyBorder="1" applyAlignment="1">
      <alignment horizontal="right" vertical="center"/>
    </xf>
    <xf numFmtId="0" fontId="44" fillId="10" borderId="0" xfId="0" applyFont="1" applyFill="1" applyAlignment="1">
      <alignment vertical="top" wrapText="1"/>
    </xf>
    <xf numFmtId="0" fontId="46" fillId="2" borderId="0" xfId="0" applyFont="1" applyFill="1" applyAlignment="1">
      <alignment horizontal="left" vertical="center"/>
    </xf>
    <xf numFmtId="0" fontId="51" fillId="0" borderId="0" xfId="0" applyFont="1" applyAlignment="1">
      <alignment vertical="top" wrapText="1"/>
    </xf>
    <xf numFmtId="0" fontId="54" fillId="0" borderId="0" xfId="0" applyFont="1" applyAlignment="1">
      <alignment vertical="top" wrapText="1"/>
    </xf>
    <xf numFmtId="0" fontId="44" fillId="2" borderId="1" xfId="0" applyFont="1" applyFill="1" applyBorder="1" applyAlignment="1">
      <alignment horizontal="center" vertical="center"/>
    </xf>
    <xf numFmtId="0" fontId="44" fillId="3" borderId="1" xfId="0" applyFont="1" applyFill="1" applyBorder="1" applyAlignment="1">
      <alignment horizontal="center" vertical="center"/>
    </xf>
    <xf numFmtId="0" fontId="14" fillId="0" borderId="0" xfId="0" applyFont="1" applyAlignment="1">
      <alignment vertical="top" wrapText="1"/>
    </xf>
    <xf numFmtId="0" fontId="8" fillId="0" borderId="0" xfId="0" applyFont="1" applyAlignment="1">
      <alignment vertical="center" wrapText="1"/>
    </xf>
    <xf numFmtId="0" fontId="33" fillId="0" borderId="0" xfId="0" applyFont="1" applyAlignment="1">
      <alignment vertical="top" wrapText="1"/>
    </xf>
    <xf numFmtId="0" fontId="56" fillId="4" borderId="1" xfId="0" applyFont="1" applyFill="1" applyBorder="1" applyAlignment="1">
      <alignment horizontal="left" vertical="center"/>
    </xf>
    <xf numFmtId="0" fontId="16" fillId="0" borderId="0" xfId="0" applyFont="1" applyAlignment="1">
      <alignment vertical="center"/>
    </xf>
    <xf numFmtId="0" fontId="8" fillId="0" borderId="0" xfId="0" applyFont="1" applyAlignment="1">
      <alignment vertical="top" wrapText="1"/>
    </xf>
    <xf numFmtId="0" fontId="44" fillId="2" borderId="0" xfId="0" applyFont="1" applyFill="1" applyAlignment="1">
      <alignment vertical="center"/>
    </xf>
    <xf numFmtId="0" fontId="58" fillId="2" borderId="1" xfId="0" applyFont="1" applyFill="1" applyBorder="1" applyAlignment="1">
      <alignment vertical="center"/>
    </xf>
    <xf numFmtId="0" fontId="57" fillId="11" borderId="1" xfId="0" applyFont="1" applyFill="1" applyBorder="1" applyAlignment="1">
      <alignment horizontal="left" vertical="center"/>
    </xf>
    <xf numFmtId="0" fontId="39" fillId="8" borderId="1" xfId="0" applyFont="1" applyFill="1" applyBorder="1" applyAlignment="1">
      <alignment horizontal="left" vertical="center"/>
    </xf>
    <xf numFmtId="0" fontId="5" fillId="3" borderId="1" xfId="0" applyFont="1" applyFill="1" applyBorder="1" applyAlignment="1">
      <alignment vertical="center"/>
    </xf>
    <xf numFmtId="0" fontId="4" fillId="0" borderId="0" xfId="0" applyFont="1" applyAlignment="1">
      <alignment vertical="top" wrapText="1"/>
    </xf>
  </cellXfs>
  <cellStyles count="1">
    <cellStyle name="Normal" xfId="0" builtinId="0"/>
  </cellStyles>
  <dxfs count="77">
    <dxf>
      <font>
        <b/>
        <sz val="8"/>
        <color rgb="FFC00000"/>
        <name val="Arial"/>
      </font>
      <fill>
        <patternFill patternType="solid">
          <fgColor rgb="FFFCE4D6"/>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9.5"/>
        <color rgb="FFC00000"/>
        <name val="Arial"/>
      </font>
    </dxf>
    <dxf>
      <font>
        <b/>
        <sz val="9.5"/>
        <color rgb="FF006100"/>
        <name val="Arial"/>
      </font>
      <fill>
        <patternFill patternType="solid">
          <fgColor rgb="FFE2EFDA"/>
        </patternFill>
      </fill>
    </dxf>
    <dxf>
      <font>
        <b/>
        <sz val="9.5"/>
        <color rgb="FFC00000"/>
        <name val="Arial"/>
      </font>
      <fill>
        <patternFill patternType="solid">
          <fgColor rgb="FFFCE4D6"/>
        </patternFill>
      </fill>
    </dxf>
    <dxf>
      <font>
        <b/>
        <sz val="9.5"/>
        <color rgb="FF006100"/>
        <name val="Arial"/>
      </font>
      <fill>
        <patternFill patternType="solid">
          <fgColor rgb="FFE2EFDA"/>
        </patternFill>
      </fill>
    </dxf>
    <dxf>
      <font>
        <b/>
        <sz val="9.5"/>
        <color rgb="FFC00000"/>
        <name val="Arial"/>
      </font>
      <fill>
        <patternFill patternType="solid">
          <fgColor rgb="FFFCE4D6"/>
        </patternFill>
      </fill>
    </dxf>
    <dxf>
      <font>
        <b/>
        <sz val="9"/>
        <color rgb="FF595959"/>
        <name val="Arial"/>
      </font>
      <fill>
        <patternFill patternType="solid">
          <fgColor rgb="FFEDEDED"/>
        </patternFill>
      </fill>
    </dxf>
    <dxf>
      <font>
        <b/>
        <sz val="9"/>
        <color rgb="FF595959"/>
        <name val="Arial"/>
      </font>
      <fill>
        <patternFill patternType="solid">
          <fgColor rgb="FFEDEDED"/>
        </patternFill>
      </fill>
    </dxf>
    <dxf>
      <font>
        <b/>
        <sz val="9"/>
        <color rgb="FF595959"/>
        <name val="Arial"/>
      </font>
      <fill>
        <patternFill patternType="solid">
          <fgColor rgb="FFEDEDED"/>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2"/>
        <color rgb="FFC00000"/>
        <name val="Arial"/>
      </font>
    </dxf>
    <dxf>
      <font>
        <b/>
        <sz val="8.5"/>
        <color rgb="FFC00000"/>
        <name val="Arial"/>
      </font>
      <fill>
        <patternFill patternType="solid">
          <fgColor rgb="FFFCE4D6"/>
        </patternFill>
      </fill>
    </dxf>
    <dxf>
      <font>
        <b/>
        <sz val="8.5"/>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9"/>
        <color rgb="FFC00000"/>
        <name val="Arial"/>
      </font>
      <fill>
        <patternFill patternType="solid">
          <fgColor rgb="FFFCE4D6"/>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8.5"/>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8"/>
        <color rgb="FFC00000"/>
        <name val="Arial"/>
      </font>
      <fill>
        <patternFill patternType="solid">
          <fgColor rgb="FFFCE4D6"/>
        </patternFill>
      </fill>
    </dxf>
    <dxf>
      <font>
        <b/>
        <sz val="9"/>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10"/>
        <color rgb="FFC00000"/>
        <name val="Arial"/>
      </font>
      <fill>
        <patternFill patternType="solid">
          <fgColor rgb="FFFCE4D6"/>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ill>
        <patternFill patternType="solid">
          <fgColor rgb="FFFCE4D6"/>
        </patternFill>
      </fill>
    </dxf>
    <dxf>
      <font>
        <b/>
        <sz val="9"/>
        <color rgb="FF595959"/>
        <name val="Arial"/>
      </font>
      <fill>
        <patternFill patternType="solid">
          <fgColor rgb="FFF2F2F2"/>
        </patternFill>
      </fill>
    </dxf>
    <dxf>
      <font>
        <b/>
        <sz val="9"/>
        <color rgb="FFC00000"/>
        <name val="Arial"/>
      </font>
      <fill>
        <patternFill patternType="solid">
          <fgColor rgb="FFFCE4D6"/>
        </patternFill>
      </fill>
    </dxf>
    <dxf>
      <font>
        <b/>
        <sz val="9"/>
        <color rgb="FF006100"/>
        <name val="Arial"/>
      </font>
      <fill>
        <patternFill patternType="solid">
          <fgColor rgb="FFE2EFDA"/>
        </patternFill>
      </fill>
    </dxf>
    <dxf>
      <font>
        <b/>
        <sz val="8"/>
        <color rgb="FFC00000"/>
        <name val="Arial"/>
      </font>
      <fill>
        <patternFill patternType="solid">
          <fgColor rgb="FFFCE4D6"/>
        </patternFill>
      </fill>
    </dxf>
    <dxf>
      <font>
        <b/>
        <sz val="8.5"/>
        <color rgb="FFC00000"/>
        <name val="Arial"/>
      </font>
      <fill>
        <patternFill patternType="solid">
          <fgColor rgb="FFFCE4D6"/>
        </patternFill>
      </fill>
    </dxf>
    <dxf>
      <font>
        <b/>
        <sz val="8.5"/>
        <color rgb="FFC00000"/>
        <name val="Arial"/>
      </font>
      <fill>
        <patternFill patternType="solid">
          <fgColor rgb="FFFCE4D6"/>
        </patternFill>
      </fill>
    </dxf>
    <dxf>
      <font>
        <b/>
        <sz val="10"/>
        <color rgb="FFC00000"/>
        <name val="Arial"/>
      </font>
      <fill>
        <patternFill patternType="solid">
          <fgColor rgb="FFFCE4D6"/>
        </patternFill>
      </fill>
    </dxf>
    <dxf>
      <font>
        <b/>
        <sz val="10"/>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
      <font>
        <b/>
        <sz val="8.5"/>
        <color rgb="FFC00000"/>
        <name val="Arial"/>
      </font>
      <fill>
        <patternFill patternType="solid">
          <fgColor rgb="FFFCE4D6"/>
        </patternFill>
      </fill>
    </dxf>
    <dxf>
      <font>
        <b/>
        <sz val="8.5"/>
        <color rgb="FF006100"/>
        <name val="Arial"/>
      </font>
      <fill>
        <patternFill patternType="solid">
          <fgColor rgb="FFE2EFDA"/>
        </patternFill>
      </fill>
    </dxf>
    <dxf>
      <font>
        <b/>
        <sz val="10"/>
        <color rgb="FF006100"/>
        <name val="Arial"/>
      </font>
      <fill>
        <patternFill patternType="solid">
          <fgColor rgb="FFE2EFDA"/>
        </patternFill>
      </fill>
    </dxf>
    <dxf>
      <font>
        <b/>
        <sz val="10"/>
        <color rgb="FFC00000"/>
        <name val="Arial"/>
      </font>
      <fill>
        <patternFill patternType="solid">
          <fgColor rgb="FFFCE4D6"/>
        </patternFill>
      </fill>
    </dxf>
    <dxf>
      <font>
        <b/>
        <sz val="10"/>
        <color rgb="FFC00000"/>
        <name val="Arial"/>
      </font>
      <fill>
        <patternFill patternType="solid">
          <fgColor rgb="FFFCE4D6"/>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5.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864"/>
  </sheetPr>
  <dimension ref="A1:D67"/>
  <sheetViews>
    <sheetView showGridLines="0" tabSelected="1" workbookViewId="0">
      <selection sqref="A1:D1"/>
    </sheetView>
  </sheetViews>
  <sheetFormatPr defaultRowHeight="15" x14ac:dyDescent="0.25"/>
  <cols>
    <col min="1" max="1" width="3" customWidth="1"/>
    <col min="2" max="2" width="6" customWidth="1"/>
    <col min="3" max="3" width="104" customWidth="1"/>
    <col min="4" max="4" width="3" customWidth="1"/>
  </cols>
  <sheetData>
    <row r="1" spans="1:4" ht="27.95" customHeight="1" x14ac:dyDescent="0.25">
      <c r="A1" s="174" t="s">
        <v>0</v>
      </c>
      <c r="B1" s="173"/>
      <c r="C1" s="173"/>
      <c r="D1" s="173"/>
    </row>
    <row r="2" spans="1:4" ht="32.1" customHeight="1" x14ac:dyDescent="0.25">
      <c r="A2" s="180" t="s">
        <v>1</v>
      </c>
      <c r="B2" s="173"/>
      <c r="C2" s="173"/>
      <c r="D2" s="173"/>
    </row>
    <row r="3" spans="1:4" ht="14.1" customHeight="1" x14ac:dyDescent="0.25">
      <c r="A3" s="179" t="s">
        <v>2</v>
      </c>
      <c r="B3" s="173"/>
      <c r="C3" s="173"/>
      <c r="D3" s="173"/>
    </row>
    <row r="4" spans="1:4" ht="8.1" customHeight="1" x14ac:dyDescent="0.25"/>
    <row r="5" spans="1:4" ht="35.1" customHeight="1" x14ac:dyDescent="0.25">
      <c r="B5" s="175" t="s">
        <v>3</v>
      </c>
      <c r="C5" s="173"/>
      <c r="D5" s="173"/>
    </row>
    <row r="6" spans="1:4" ht="17.100000000000001" customHeight="1" x14ac:dyDescent="0.25">
      <c r="B6" s="172" t="s">
        <v>4</v>
      </c>
      <c r="C6" s="173"/>
      <c r="D6" s="173"/>
    </row>
    <row r="7" spans="1:4" ht="8.1" customHeight="1" x14ac:dyDescent="0.25"/>
    <row r="8" spans="1:4" ht="20.100000000000001" customHeight="1" x14ac:dyDescent="0.25">
      <c r="A8" s="178" t="s">
        <v>5</v>
      </c>
      <c r="B8" s="173"/>
      <c r="C8" s="173"/>
      <c r="D8" s="173"/>
    </row>
    <row r="9" spans="1:4" ht="32.1" customHeight="1" x14ac:dyDescent="0.25">
      <c r="B9" s="181" t="s">
        <v>6</v>
      </c>
      <c r="C9" s="173"/>
      <c r="D9" s="173"/>
    </row>
    <row r="10" spans="1:4" ht="8.1" customHeight="1" x14ac:dyDescent="0.25"/>
    <row r="11" spans="1:4" ht="17.100000000000001" customHeight="1" x14ac:dyDescent="0.25">
      <c r="C11" s="2" t="s">
        <v>7</v>
      </c>
    </row>
    <row r="12" spans="1:4" ht="32.1" customHeight="1" x14ac:dyDescent="0.25">
      <c r="B12" s="3" t="s">
        <v>8</v>
      </c>
      <c r="C12" s="1" t="s">
        <v>9</v>
      </c>
    </row>
    <row r="13" spans="1:4" ht="32.1" customHeight="1" x14ac:dyDescent="0.25">
      <c r="B13" s="3" t="s">
        <v>10</v>
      </c>
      <c r="C13" s="1" t="s">
        <v>11</v>
      </c>
    </row>
    <row r="14" spans="1:4" ht="8.1" customHeight="1" x14ac:dyDescent="0.25"/>
    <row r="15" spans="1:4" ht="17.100000000000001" customHeight="1" x14ac:dyDescent="0.25">
      <c r="C15" s="2" t="s">
        <v>12</v>
      </c>
    </row>
    <row r="16" spans="1:4" ht="32.1" customHeight="1" x14ac:dyDescent="0.25">
      <c r="B16" s="3" t="s">
        <v>13</v>
      </c>
      <c r="C16" s="1" t="s">
        <v>14</v>
      </c>
    </row>
    <row r="17" spans="2:3" ht="47.1" customHeight="1" x14ac:dyDescent="0.25">
      <c r="B17" s="3" t="s">
        <v>15</v>
      </c>
      <c r="C17" s="1" t="s">
        <v>16</v>
      </c>
    </row>
    <row r="18" spans="2:3" ht="32.1" customHeight="1" x14ac:dyDescent="0.25">
      <c r="B18" s="3" t="s">
        <v>17</v>
      </c>
      <c r="C18" s="1" t="s">
        <v>18</v>
      </c>
    </row>
    <row r="19" spans="2:3" ht="17.100000000000001" customHeight="1" x14ac:dyDescent="0.25">
      <c r="B19" s="4" t="s">
        <v>19</v>
      </c>
      <c r="C19" s="5" t="s">
        <v>20</v>
      </c>
    </row>
    <row r="20" spans="2:3" ht="32.1" customHeight="1" x14ac:dyDescent="0.25">
      <c r="B20" s="3" t="s">
        <v>21</v>
      </c>
      <c r="C20" s="1" t="s">
        <v>22</v>
      </c>
    </row>
    <row r="21" spans="2:3" ht="17.100000000000001" customHeight="1" x14ac:dyDescent="0.25">
      <c r="B21" s="4" t="s">
        <v>23</v>
      </c>
      <c r="C21" s="5" t="s">
        <v>24</v>
      </c>
    </row>
    <row r="22" spans="2:3" ht="32.1" customHeight="1" x14ac:dyDescent="0.25">
      <c r="B22" s="3" t="s">
        <v>25</v>
      </c>
      <c r="C22" s="1" t="s">
        <v>26</v>
      </c>
    </row>
    <row r="23" spans="2:3" ht="17.100000000000001" customHeight="1" x14ac:dyDescent="0.25">
      <c r="B23" s="4" t="s">
        <v>27</v>
      </c>
      <c r="C23" s="5" t="s">
        <v>28</v>
      </c>
    </row>
    <row r="24" spans="2:3" ht="32.1" customHeight="1" x14ac:dyDescent="0.25">
      <c r="B24" s="6" t="s">
        <v>29</v>
      </c>
      <c r="C24" s="1" t="s">
        <v>30</v>
      </c>
    </row>
    <row r="25" spans="2:3" ht="17.100000000000001" customHeight="1" x14ac:dyDescent="0.25">
      <c r="B25" s="7" t="s">
        <v>29</v>
      </c>
      <c r="C25" s="5" t="s">
        <v>31</v>
      </c>
    </row>
    <row r="26" spans="2:3" ht="47.1" customHeight="1" x14ac:dyDescent="0.25">
      <c r="B26" s="6" t="s">
        <v>29</v>
      </c>
      <c r="C26" s="1" t="s">
        <v>32</v>
      </c>
    </row>
    <row r="27" spans="2:3" ht="17.100000000000001" customHeight="1" x14ac:dyDescent="0.25">
      <c r="B27" s="7" t="s">
        <v>29</v>
      </c>
      <c r="C27" s="5" t="s">
        <v>33</v>
      </c>
    </row>
    <row r="28" spans="2:3" ht="32.1" customHeight="1" x14ac:dyDescent="0.25">
      <c r="B28" s="3" t="s">
        <v>34</v>
      </c>
      <c r="C28" s="1" t="s">
        <v>35</v>
      </c>
    </row>
    <row r="29" spans="2:3" ht="32.1" customHeight="1" x14ac:dyDescent="0.25">
      <c r="B29" s="3" t="s">
        <v>36</v>
      </c>
      <c r="C29" s="1" t="s">
        <v>37</v>
      </c>
    </row>
    <row r="30" spans="2:3" ht="47.1" customHeight="1" x14ac:dyDescent="0.25">
      <c r="B30" s="3" t="s">
        <v>38</v>
      </c>
      <c r="C30" s="1" t="s">
        <v>39</v>
      </c>
    </row>
    <row r="31" spans="2:3" ht="62.1" customHeight="1" x14ac:dyDescent="0.25">
      <c r="B31" s="3" t="s">
        <v>40</v>
      </c>
      <c r="C31" s="1" t="s">
        <v>41</v>
      </c>
    </row>
    <row r="32" spans="2:3" ht="32.1" customHeight="1" x14ac:dyDescent="0.25">
      <c r="B32" s="3" t="s">
        <v>42</v>
      </c>
      <c r="C32" s="1" t="s">
        <v>43</v>
      </c>
    </row>
    <row r="33" spans="1:4" ht="8.1" customHeight="1" x14ac:dyDescent="0.25"/>
    <row r="34" spans="1:4" ht="16.350000000000001" customHeight="1" x14ac:dyDescent="0.25">
      <c r="B34" s="183" t="s">
        <v>44</v>
      </c>
      <c r="C34" s="173"/>
      <c r="D34" s="173"/>
    </row>
    <row r="35" spans="1:4" ht="8.1" customHeight="1" x14ac:dyDescent="0.25"/>
    <row r="36" spans="1:4" ht="30.6" customHeight="1" x14ac:dyDescent="0.25">
      <c r="B36" s="176" t="s">
        <v>45</v>
      </c>
      <c r="C36" s="173"/>
      <c r="D36" s="173"/>
    </row>
    <row r="37" spans="1:4" ht="8.1" customHeight="1" x14ac:dyDescent="0.25"/>
    <row r="38" spans="1:4" ht="20.100000000000001" customHeight="1" x14ac:dyDescent="0.25">
      <c r="A38" s="178" t="s">
        <v>46</v>
      </c>
      <c r="B38" s="173"/>
      <c r="C38" s="173"/>
      <c r="D38" s="173"/>
    </row>
    <row r="39" spans="1:4" ht="17.100000000000001" customHeight="1" x14ac:dyDescent="0.25">
      <c r="B39" s="8"/>
      <c r="C39" s="9" t="s">
        <v>47</v>
      </c>
    </row>
    <row r="40" spans="1:4" ht="17.100000000000001" customHeight="1" x14ac:dyDescent="0.25">
      <c r="B40" s="10"/>
      <c r="C40" s="11" t="s">
        <v>48</v>
      </c>
    </row>
    <row r="41" spans="1:4" ht="17.100000000000001" customHeight="1" x14ac:dyDescent="0.25">
      <c r="B41" s="12"/>
      <c r="C41" s="13" t="s">
        <v>49</v>
      </c>
    </row>
    <row r="42" spans="1:4" ht="17.100000000000001" customHeight="1" x14ac:dyDescent="0.25">
      <c r="B42" s="14"/>
      <c r="C42" s="15" t="s">
        <v>50</v>
      </c>
    </row>
    <row r="43" spans="1:4" ht="17.100000000000001" customHeight="1" x14ac:dyDescent="0.25">
      <c r="B43" s="16"/>
      <c r="C43" s="17" t="s">
        <v>51</v>
      </c>
    </row>
    <row r="44" spans="1:4" ht="17.100000000000001" customHeight="1" x14ac:dyDescent="0.25">
      <c r="B44" s="18"/>
      <c r="C44" s="17" t="s">
        <v>52</v>
      </c>
    </row>
    <row r="45" spans="1:4" ht="17.100000000000001" customHeight="1" x14ac:dyDescent="0.25">
      <c r="B45" s="19"/>
      <c r="C45" s="17" t="s">
        <v>53</v>
      </c>
    </row>
    <row r="46" spans="1:4" ht="8.1" customHeight="1" x14ac:dyDescent="0.25"/>
    <row r="47" spans="1:4" ht="20.100000000000001" customHeight="1" x14ac:dyDescent="0.25">
      <c r="A47" s="178" t="s">
        <v>54</v>
      </c>
      <c r="B47" s="173"/>
      <c r="C47" s="173"/>
      <c r="D47" s="173"/>
    </row>
    <row r="48" spans="1:4" ht="47.1" customHeight="1" x14ac:dyDescent="0.25">
      <c r="B48" s="181" t="s">
        <v>55</v>
      </c>
      <c r="C48" s="173"/>
      <c r="D48" s="173"/>
    </row>
    <row r="49" spans="1:4" ht="8.1" customHeight="1" x14ac:dyDescent="0.25"/>
    <row r="50" spans="1:4" ht="20.100000000000001" customHeight="1" x14ac:dyDescent="0.25">
      <c r="A50" s="178" t="s">
        <v>56</v>
      </c>
      <c r="B50" s="173"/>
      <c r="C50" s="173"/>
      <c r="D50" s="173"/>
    </row>
    <row r="51" spans="1:4" ht="17.100000000000001" customHeight="1" x14ac:dyDescent="0.25">
      <c r="B51" s="20" t="s">
        <v>57</v>
      </c>
      <c r="C51" s="21" t="s">
        <v>58</v>
      </c>
    </row>
    <row r="52" spans="1:4" ht="17.100000000000001" customHeight="1" x14ac:dyDescent="0.25">
      <c r="B52" s="20" t="s">
        <v>57</v>
      </c>
      <c r="C52" s="21" t="s">
        <v>59</v>
      </c>
    </row>
    <row r="53" spans="1:4" ht="17.100000000000001" customHeight="1" x14ac:dyDescent="0.25">
      <c r="B53" s="20" t="s">
        <v>57</v>
      </c>
      <c r="C53" s="21" t="s">
        <v>60</v>
      </c>
    </row>
    <row r="54" spans="1:4" ht="17.100000000000001" customHeight="1" x14ac:dyDescent="0.25">
      <c r="B54" s="20" t="s">
        <v>57</v>
      </c>
      <c r="C54" s="21" t="s">
        <v>61</v>
      </c>
    </row>
    <row r="55" spans="1:4" ht="17.100000000000001" customHeight="1" x14ac:dyDescent="0.25">
      <c r="B55" s="20" t="s">
        <v>57</v>
      </c>
      <c r="C55" s="21" t="s">
        <v>62</v>
      </c>
    </row>
    <row r="56" spans="1:4" ht="30.6" customHeight="1" x14ac:dyDescent="0.25">
      <c r="C56" s="176" t="s">
        <v>63</v>
      </c>
      <c r="D56" s="173"/>
    </row>
    <row r="57" spans="1:4" ht="8.1" customHeight="1" x14ac:dyDescent="0.25"/>
    <row r="58" spans="1:4" ht="30.6" customHeight="1" x14ac:dyDescent="0.25">
      <c r="B58" s="176" t="s">
        <v>64</v>
      </c>
      <c r="C58" s="173"/>
      <c r="D58" s="173"/>
    </row>
    <row r="59" spans="1:4" ht="8.1" customHeight="1" x14ac:dyDescent="0.25"/>
    <row r="60" spans="1:4" ht="20.100000000000001" customHeight="1" x14ac:dyDescent="0.25">
      <c r="A60" s="178" t="s">
        <v>65</v>
      </c>
      <c r="B60" s="173"/>
      <c r="C60" s="173"/>
      <c r="D60" s="173"/>
    </row>
    <row r="61" spans="1:4" ht="56.1" customHeight="1" x14ac:dyDescent="0.25">
      <c r="B61" s="182" t="s">
        <v>66</v>
      </c>
      <c r="C61" s="173"/>
      <c r="D61" s="173"/>
    </row>
    <row r="62" spans="1:4" ht="8.1" customHeight="1" x14ac:dyDescent="0.25"/>
    <row r="63" spans="1:4" ht="32.1" customHeight="1" x14ac:dyDescent="0.25">
      <c r="B63" s="177" t="s">
        <v>67</v>
      </c>
      <c r="C63" s="173"/>
      <c r="D63" s="173"/>
    </row>
    <row r="64" spans="1:4" ht="8.1" customHeight="1" x14ac:dyDescent="0.25"/>
    <row r="65" spans="1:4" ht="33.6" customHeight="1" x14ac:dyDescent="0.25">
      <c r="B65" s="185" t="s">
        <v>68</v>
      </c>
      <c r="C65" s="173"/>
      <c r="D65" s="173"/>
    </row>
    <row r="66" spans="1:4" ht="8.1" customHeight="1" x14ac:dyDescent="0.25"/>
    <row r="67" spans="1:4" ht="29.1" customHeight="1" x14ac:dyDescent="0.25">
      <c r="A67" s="184" t="s">
        <v>69</v>
      </c>
      <c r="B67" s="173"/>
      <c r="C67" s="173"/>
      <c r="D67" s="173"/>
    </row>
  </sheetData>
  <sheetProtection sheet="1" formatCells="0" formatColumns="0" formatRows="0" insertRows="0" deleteRows="0"/>
  <mergeCells count="20">
    <mergeCell ref="A67:D67"/>
    <mergeCell ref="B9:D9"/>
    <mergeCell ref="B65:D65"/>
    <mergeCell ref="C56:D56"/>
    <mergeCell ref="A60:D60"/>
    <mergeCell ref="B6:D6"/>
    <mergeCell ref="A1:D1"/>
    <mergeCell ref="B5:D5"/>
    <mergeCell ref="B36:D36"/>
    <mergeCell ref="B63:D63"/>
    <mergeCell ref="A50:D50"/>
    <mergeCell ref="A3:D3"/>
    <mergeCell ref="B58:D58"/>
    <mergeCell ref="A2:D2"/>
    <mergeCell ref="A47:D47"/>
    <mergeCell ref="B48:D48"/>
    <mergeCell ref="A8:D8"/>
    <mergeCell ref="B61:D61"/>
    <mergeCell ref="A38:D38"/>
    <mergeCell ref="B34:D34"/>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1:E26"/>
  <sheetViews>
    <sheetView showGridLines="0" workbookViewId="0">
      <pane ySplit="4" topLeftCell="A5" activePane="bottomLeft" state="frozen"/>
      <selection pane="bottomLeft"/>
    </sheetView>
  </sheetViews>
  <sheetFormatPr defaultRowHeight="15" x14ac:dyDescent="0.25"/>
  <cols>
    <col min="1" max="1" width="3" customWidth="1"/>
    <col min="2" max="2" width="36" customWidth="1"/>
    <col min="3" max="3" width="30" customWidth="1"/>
    <col min="4" max="4" width="3" customWidth="1"/>
    <col min="5" max="5" width="88" customWidth="1"/>
  </cols>
  <sheetData>
    <row r="1" spans="1:5" ht="27.95" customHeight="1" x14ac:dyDescent="0.25">
      <c r="A1" s="174" t="s">
        <v>70</v>
      </c>
      <c r="B1" s="173"/>
      <c r="C1" s="173"/>
      <c r="D1" s="173"/>
      <c r="E1" s="173"/>
    </row>
    <row r="2" spans="1:5" ht="17.100000000000001" customHeight="1" x14ac:dyDescent="0.25">
      <c r="A2" s="188" t="s">
        <v>71</v>
      </c>
      <c r="B2" s="173"/>
      <c r="C2" s="173"/>
      <c r="D2" s="173"/>
      <c r="E2" s="173"/>
    </row>
    <row r="3" spans="1:5" ht="14.1" customHeight="1" x14ac:dyDescent="0.25">
      <c r="A3" s="179" t="s">
        <v>2</v>
      </c>
      <c r="B3" s="173"/>
      <c r="C3" s="173"/>
      <c r="D3" s="173"/>
      <c r="E3" s="173"/>
    </row>
    <row r="4" spans="1:5" ht="8.1" customHeight="1" x14ac:dyDescent="0.25"/>
    <row r="5" spans="1:5" ht="20.100000000000001" customHeight="1" x14ac:dyDescent="0.25">
      <c r="A5" s="178" t="s">
        <v>72</v>
      </c>
      <c r="B5" s="173"/>
      <c r="C5" s="173"/>
      <c r="D5" s="173"/>
      <c r="E5" s="173"/>
    </row>
    <row r="6" spans="1:5" ht="29.1" customHeight="1" x14ac:dyDescent="0.25">
      <c r="B6" s="17" t="s">
        <v>73</v>
      </c>
      <c r="C6" s="22" t="s">
        <v>74</v>
      </c>
      <c r="E6" s="23" t="s">
        <v>75</v>
      </c>
    </row>
    <row r="7" spans="1:5" ht="29.1" customHeight="1" x14ac:dyDescent="0.25">
      <c r="B7" s="17" t="s">
        <v>76</v>
      </c>
      <c r="C7" s="22" t="s">
        <v>77</v>
      </c>
    </row>
    <row r="8" spans="1:5" ht="29.1" customHeight="1" x14ac:dyDescent="0.25">
      <c r="B8" s="17" t="s">
        <v>78</v>
      </c>
      <c r="C8" s="22" t="s">
        <v>79</v>
      </c>
      <c r="E8" s="23" t="s">
        <v>80</v>
      </c>
    </row>
    <row r="9" spans="1:5" ht="29.1" customHeight="1" x14ac:dyDescent="0.25">
      <c r="B9" s="17" t="s">
        <v>81</v>
      </c>
      <c r="C9" s="22"/>
      <c r="E9" s="23" t="s">
        <v>82</v>
      </c>
    </row>
    <row r="10" spans="1:5" ht="29.1" customHeight="1" x14ac:dyDescent="0.25">
      <c r="B10" s="17" t="s">
        <v>83</v>
      </c>
      <c r="C10" s="24">
        <v>2026</v>
      </c>
      <c r="E10" s="23" t="s">
        <v>84</v>
      </c>
    </row>
    <row r="11" spans="1:5" ht="29.1" customHeight="1" x14ac:dyDescent="0.25">
      <c r="B11" s="17" t="s">
        <v>85</v>
      </c>
      <c r="C11" s="25">
        <f>DATE($C$10,1,1)</f>
        <v>46023</v>
      </c>
      <c r="E11" s="23" t="s">
        <v>86</v>
      </c>
    </row>
    <row r="12" spans="1:5" ht="29.1" customHeight="1" x14ac:dyDescent="0.25">
      <c r="B12" s="17" t="s">
        <v>87</v>
      </c>
      <c r="C12" s="25">
        <f>DATE($C$10,12,31)</f>
        <v>46387</v>
      </c>
      <c r="E12" s="23" t="s">
        <v>86</v>
      </c>
    </row>
    <row r="13" spans="1:5" ht="8.1" customHeight="1" x14ac:dyDescent="0.25"/>
    <row r="14" spans="1:5" ht="20.100000000000001" customHeight="1" x14ac:dyDescent="0.25">
      <c r="A14" s="178" t="s">
        <v>88</v>
      </c>
      <c r="B14" s="173"/>
      <c r="C14" s="173"/>
      <c r="D14" s="173"/>
      <c r="E14" s="173"/>
    </row>
    <row r="15" spans="1:5" ht="16.350000000000001" customHeight="1" x14ac:dyDescent="0.25">
      <c r="B15" s="176" t="s">
        <v>89</v>
      </c>
      <c r="C15" s="173"/>
      <c r="D15" s="173"/>
      <c r="E15" s="173"/>
    </row>
    <row r="16" spans="1:5" ht="17.100000000000001" customHeight="1" x14ac:dyDescent="0.25">
      <c r="B16" s="17" t="s">
        <v>90</v>
      </c>
      <c r="C16" s="26">
        <v>0</v>
      </c>
      <c r="E16" s="23" t="s">
        <v>91</v>
      </c>
    </row>
    <row r="17" spans="1:5" ht="17.100000000000001" customHeight="1" x14ac:dyDescent="0.25">
      <c r="B17" s="17" t="s">
        <v>92</v>
      </c>
      <c r="C17" s="26">
        <v>0</v>
      </c>
      <c r="E17" s="23" t="s">
        <v>93</v>
      </c>
    </row>
    <row r="18" spans="1:5" ht="17.100000000000001" customHeight="1" x14ac:dyDescent="0.25">
      <c r="B18" s="17" t="s">
        <v>94</v>
      </c>
      <c r="C18" s="22" t="s">
        <v>95</v>
      </c>
      <c r="E18" s="23" t="s">
        <v>96</v>
      </c>
    </row>
    <row r="19" spans="1:5" ht="8.1" customHeight="1" x14ac:dyDescent="0.25"/>
    <row r="20" spans="1:5" ht="20.100000000000001" customHeight="1" x14ac:dyDescent="0.25">
      <c r="A20" s="178" t="s">
        <v>97</v>
      </c>
      <c r="B20" s="173"/>
      <c r="C20" s="173"/>
      <c r="D20" s="173"/>
      <c r="E20" s="173"/>
    </row>
    <row r="21" spans="1:5" ht="30.6" customHeight="1" x14ac:dyDescent="0.25">
      <c r="B21" s="189" t="s">
        <v>98</v>
      </c>
      <c r="C21" s="173"/>
      <c r="D21" s="173"/>
      <c r="E21" s="173"/>
    </row>
    <row r="22" spans="1:5" ht="17.100000000000001" customHeight="1" x14ac:dyDescent="0.25">
      <c r="B22" s="186" t="s">
        <v>99</v>
      </c>
      <c r="C22" s="173"/>
      <c r="D22" s="173"/>
      <c r="E22" s="173"/>
    </row>
    <row r="23" spans="1:5" ht="17.100000000000001" customHeight="1" x14ac:dyDescent="0.25">
      <c r="B23" s="186" t="s">
        <v>100</v>
      </c>
      <c r="C23" s="173"/>
      <c r="D23" s="173"/>
      <c r="E23" s="173"/>
    </row>
    <row r="24" spans="1:5" ht="17.100000000000001" customHeight="1" x14ac:dyDescent="0.25">
      <c r="B24" s="186" t="s">
        <v>101</v>
      </c>
      <c r="C24" s="173"/>
      <c r="D24" s="173"/>
      <c r="E24" s="173"/>
    </row>
    <row r="25" spans="1:5" ht="8.1" customHeight="1" x14ac:dyDescent="0.25"/>
    <row r="26" spans="1:5" ht="15.6" customHeight="1" x14ac:dyDescent="0.25">
      <c r="A26" s="187" t="s">
        <v>69</v>
      </c>
      <c r="B26" s="173"/>
      <c r="C26" s="173"/>
      <c r="D26" s="173"/>
      <c r="E26" s="173"/>
    </row>
  </sheetData>
  <sheetProtection sheet="1" formatCells="0" formatColumns="0" formatRows="0" insertRows="0" deleteRows="0"/>
  <mergeCells count="12">
    <mergeCell ref="A26:E26"/>
    <mergeCell ref="A2:E2"/>
    <mergeCell ref="B21:E21"/>
    <mergeCell ref="B15:E15"/>
    <mergeCell ref="A1:E1"/>
    <mergeCell ref="A5:E5"/>
    <mergeCell ref="B24:E24"/>
    <mergeCell ref="A14:E14"/>
    <mergeCell ref="B22:E22"/>
    <mergeCell ref="A3:E3"/>
    <mergeCell ref="B23:E23"/>
    <mergeCell ref="A20:E20"/>
  </mergeCells>
  <dataValidations count="3">
    <dataValidation type="list" allowBlank="1" sqref="C18" xr:uid="{00000000-0002-0000-0100-000000000000}">
      <formula1>"Standard mileage,Actual expenses,Not sure - ask my accountant"</formula1>
    </dataValidation>
    <dataValidation type="list" allowBlank="1" sqref="C8" xr:uid="{00000000-0002-0000-0100-000001000000}">
      <formula1>_xlfn._LONGTEXT("Physician - solo or small group,Physician - locum or 1099,Dentist,Chiropractor,Optometrist,Behavioral health or therapy practice,Home health or home care agency,Elderly care or assisted living,Physical or occupational therapy,Podiatry,Veterinary,Other hea","lthcare business")</formula1>
    </dataValidation>
    <dataValidation type="list" allowBlank="1" sqref="C9" xr:uid="{00000000-0002-0000-0100-000002000000}">
      <formula1>"Sole Proprietor,Single-Member LLC (disregarded),Partnership / Multi-Member LLC,S-Corporation,C-Corporation,Not sure - ask my accountant"</formula1>
    </dataValidation>
  </dataValidation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F35"/>
  <sheetViews>
    <sheetView showGridLines="0" workbookViewId="0">
      <pane ySplit="7" topLeftCell="A8" activePane="bottomLeft" state="frozen"/>
      <selection pane="bottomLeft"/>
    </sheetView>
  </sheetViews>
  <sheetFormatPr defaultRowHeight="15" x14ac:dyDescent="0.25"/>
  <cols>
    <col min="1" max="1" width="3" customWidth="1"/>
    <col min="2" max="2" width="34" customWidth="1"/>
    <col min="3" max="3" width="20" customWidth="1"/>
    <col min="4" max="4" width="26" customWidth="1"/>
    <col min="5" max="5" width="12" customWidth="1"/>
    <col min="6" max="6" width="46" customWidth="1"/>
  </cols>
  <sheetData>
    <row r="1" spans="1:6" ht="27.95" customHeight="1" x14ac:dyDescent="0.25">
      <c r="A1" s="174" t="s">
        <v>102</v>
      </c>
      <c r="B1" s="173"/>
      <c r="C1" s="173"/>
      <c r="D1" s="173"/>
      <c r="E1" s="173"/>
      <c r="F1" s="173"/>
    </row>
    <row r="2" spans="1:6" ht="32.1" customHeight="1" x14ac:dyDescent="0.25">
      <c r="A2" s="180" t="s">
        <v>103</v>
      </c>
      <c r="B2" s="173"/>
      <c r="C2" s="173"/>
      <c r="D2" s="173"/>
      <c r="E2" s="173"/>
      <c r="F2" s="173"/>
    </row>
    <row r="3" spans="1:6" ht="14.1" customHeight="1" x14ac:dyDescent="0.25">
      <c r="A3" s="179" t="s">
        <v>2</v>
      </c>
      <c r="B3" s="173"/>
      <c r="C3" s="173"/>
      <c r="D3" s="173"/>
      <c r="E3" s="173"/>
      <c r="F3" s="173"/>
    </row>
    <row r="4" spans="1:6" ht="8.1" customHeight="1" x14ac:dyDescent="0.25"/>
    <row r="5" spans="1:6" ht="30.6" customHeight="1" x14ac:dyDescent="0.25">
      <c r="A5" s="192" t="s">
        <v>104</v>
      </c>
      <c r="B5" s="173"/>
      <c r="C5" s="173"/>
      <c r="D5" s="173"/>
      <c r="E5" s="173"/>
      <c r="F5" s="173"/>
    </row>
    <row r="6" spans="1:6" ht="44.85" customHeight="1" x14ac:dyDescent="0.25">
      <c r="A6" s="195" t="s">
        <v>105</v>
      </c>
      <c r="B6" s="173"/>
      <c r="C6" s="173"/>
      <c r="D6" s="173"/>
      <c r="E6" s="173"/>
      <c r="F6" s="173"/>
    </row>
    <row r="7" spans="1:6" ht="33.950000000000003" customHeight="1" x14ac:dyDescent="0.25">
      <c r="A7" s="27"/>
      <c r="B7" s="27" t="s">
        <v>106</v>
      </c>
      <c r="C7" s="27" t="s">
        <v>107</v>
      </c>
      <c r="D7" s="27" t="s">
        <v>108</v>
      </c>
      <c r="E7" s="27" t="s">
        <v>109</v>
      </c>
      <c r="F7" s="27" t="s">
        <v>110</v>
      </c>
    </row>
    <row r="8" spans="1:6" x14ac:dyDescent="0.25">
      <c r="B8" s="28"/>
      <c r="C8" s="29"/>
      <c r="D8" s="28"/>
      <c r="E8" s="29"/>
      <c r="F8" s="28"/>
    </row>
    <row r="9" spans="1:6" x14ac:dyDescent="0.25">
      <c r="B9" s="28"/>
      <c r="C9" s="29"/>
      <c r="D9" s="28"/>
      <c r="E9" s="29"/>
      <c r="F9" s="28"/>
    </row>
    <row r="10" spans="1:6" x14ac:dyDescent="0.25">
      <c r="B10" s="28"/>
      <c r="C10" s="29"/>
      <c r="D10" s="28"/>
      <c r="E10" s="29"/>
      <c r="F10" s="28"/>
    </row>
    <row r="11" spans="1:6" x14ac:dyDescent="0.25">
      <c r="B11" s="28"/>
      <c r="C11" s="29"/>
      <c r="D11" s="28"/>
      <c r="E11" s="29"/>
      <c r="F11" s="28"/>
    </row>
    <row r="12" spans="1:6" x14ac:dyDescent="0.25">
      <c r="B12" s="28"/>
      <c r="C12" s="29"/>
      <c r="D12" s="28"/>
      <c r="E12" s="29"/>
      <c r="F12" s="28"/>
    </row>
    <row r="13" spans="1:6" x14ac:dyDescent="0.25">
      <c r="B13" s="28"/>
      <c r="C13" s="29"/>
      <c r="D13" s="28"/>
      <c r="E13" s="29"/>
      <c r="F13" s="28"/>
    </row>
    <row r="14" spans="1:6" x14ac:dyDescent="0.25">
      <c r="B14" s="28"/>
      <c r="C14" s="29"/>
      <c r="D14" s="28"/>
      <c r="E14" s="29"/>
      <c r="F14" s="28"/>
    </row>
    <row r="15" spans="1:6" x14ac:dyDescent="0.25">
      <c r="B15" s="28"/>
      <c r="C15" s="29"/>
      <c r="D15" s="28"/>
      <c r="E15" s="29"/>
      <c r="F15" s="28"/>
    </row>
    <row r="16" spans="1:6" x14ac:dyDescent="0.25">
      <c r="B16" s="28"/>
      <c r="C16" s="29"/>
      <c r="D16" s="28"/>
      <c r="E16" s="29"/>
      <c r="F16" s="28"/>
    </row>
    <row r="17" spans="1:6" x14ac:dyDescent="0.25">
      <c r="B17" s="28"/>
      <c r="C17" s="29"/>
      <c r="D17" s="28"/>
      <c r="E17" s="29"/>
      <c r="F17" s="28"/>
    </row>
    <row r="18" spans="1:6" x14ac:dyDescent="0.25">
      <c r="B18" s="28"/>
      <c r="C18" s="29"/>
      <c r="D18" s="28"/>
      <c r="E18" s="29"/>
      <c r="F18" s="28"/>
    </row>
    <row r="19" spans="1:6" x14ac:dyDescent="0.25">
      <c r="B19" s="28"/>
      <c r="C19" s="29"/>
      <c r="D19" s="28"/>
      <c r="E19" s="29"/>
      <c r="F19" s="28"/>
    </row>
    <row r="20" spans="1:6" x14ac:dyDescent="0.25">
      <c r="B20" s="28"/>
      <c r="C20" s="29"/>
      <c r="D20" s="28"/>
      <c r="E20" s="29"/>
      <c r="F20" s="28"/>
    </row>
    <row r="21" spans="1:6" x14ac:dyDescent="0.25">
      <c r="B21" s="28"/>
      <c r="C21" s="29"/>
      <c r="D21" s="28"/>
      <c r="E21" s="29"/>
      <c r="F21" s="28"/>
    </row>
    <row r="22" spans="1:6" x14ac:dyDescent="0.25">
      <c r="B22" s="28"/>
      <c r="C22" s="29"/>
      <c r="D22" s="28"/>
      <c r="E22" s="29"/>
      <c r="F22" s="28"/>
    </row>
    <row r="23" spans="1:6" x14ac:dyDescent="0.25">
      <c r="B23" s="28"/>
      <c r="C23" s="29"/>
      <c r="D23" s="28"/>
      <c r="E23" s="29"/>
      <c r="F23" s="28"/>
    </row>
    <row r="24" spans="1:6" x14ac:dyDescent="0.25">
      <c r="B24" s="28"/>
      <c r="C24" s="29"/>
      <c r="D24" s="28"/>
      <c r="E24" s="29"/>
      <c r="F24" s="28"/>
    </row>
    <row r="25" spans="1:6" x14ac:dyDescent="0.25">
      <c r="B25" s="28"/>
      <c r="C25" s="29"/>
      <c r="D25" s="28"/>
      <c r="E25" s="29"/>
      <c r="F25" s="28"/>
    </row>
    <row r="26" spans="1:6" x14ac:dyDescent="0.25">
      <c r="B26" s="28"/>
      <c r="C26" s="29"/>
      <c r="D26" s="28"/>
      <c r="E26" s="29"/>
      <c r="F26" s="28"/>
    </row>
    <row r="27" spans="1:6" x14ac:dyDescent="0.25">
      <c r="B27" s="28"/>
      <c r="C27" s="29"/>
      <c r="D27" s="28"/>
      <c r="E27" s="29"/>
      <c r="F27" s="28"/>
    </row>
    <row r="28" spans="1:6" ht="29.1" customHeight="1" x14ac:dyDescent="0.25">
      <c r="A28" s="197" t="s">
        <v>111</v>
      </c>
      <c r="B28" s="173"/>
      <c r="C28" s="173"/>
      <c r="D28" s="173"/>
      <c r="E28" s="173"/>
      <c r="F28" s="173"/>
    </row>
    <row r="29" spans="1:6" x14ac:dyDescent="0.25">
      <c r="A29" s="190" t="s">
        <v>112</v>
      </c>
      <c r="B29" s="191"/>
      <c r="C29" s="30">
        <f>SUMPRODUCT(--('3. Accounts'!$B$8:$B$27&lt;&gt;""))</f>
        <v>0</v>
      </c>
    </row>
    <row r="30" spans="1:6" x14ac:dyDescent="0.25">
      <c r="A30" s="190" t="s">
        <v>113</v>
      </c>
      <c r="B30" s="191"/>
      <c r="C30" s="30">
        <v>20</v>
      </c>
    </row>
    <row r="31" spans="1:6" x14ac:dyDescent="0.25">
      <c r="A31" s="190" t="s">
        <v>114</v>
      </c>
      <c r="B31" s="191"/>
      <c r="C31" s="30">
        <f>MAX(0,20-$C$29)</f>
        <v>20</v>
      </c>
    </row>
    <row r="32" spans="1:6" x14ac:dyDescent="0.25">
      <c r="A32" s="194" t="s">
        <v>115</v>
      </c>
      <c r="B32" s="191"/>
      <c r="C32" s="31" t="str">
        <f>IF($C$31&lt;=0,"FULL - no more rows can be entered",IF($C$31&lt;=4,"NEARLY FULL - contact Powell United","OK"))</f>
        <v>OK</v>
      </c>
      <c r="D32" s="193" t="s">
        <v>116</v>
      </c>
      <c r="E32" s="173"/>
      <c r="F32" s="173"/>
    </row>
    <row r="33" spans="1:6" ht="42.6" customHeight="1" x14ac:dyDescent="0.25">
      <c r="A33" s="196" t="s">
        <v>117</v>
      </c>
      <c r="B33" s="173"/>
      <c r="C33" s="173"/>
      <c r="D33" s="173"/>
      <c r="E33" s="173"/>
      <c r="F33" s="173"/>
    </row>
    <row r="34" spans="1:6" ht="8.1" customHeight="1" x14ac:dyDescent="0.25"/>
    <row r="35" spans="1:6" ht="15.6" customHeight="1" x14ac:dyDescent="0.25">
      <c r="A35" s="187" t="s">
        <v>69</v>
      </c>
      <c r="B35" s="173"/>
      <c r="C35" s="173"/>
      <c r="D35" s="173"/>
      <c r="E35" s="173"/>
      <c r="F35" s="173"/>
    </row>
  </sheetData>
  <sheetProtection sheet="1" formatCells="0" formatColumns="0" formatRows="0" insertRows="0" deleteRows="0"/>
  <mergeCells count="13">
    <mergeCell ref="A35:F35"/>
    <mergeCell ref="A3:F3"/>
    <mergeCell ref="A31:B31"/>
    <mergeCell ref="A1:F1"/>
    <mergeCell ref="A5:F5"/>
    <mergeCell ref="D32:F32"/>
    <mergeCell ref="A32:B32"/>
    <mergeCell ref="A6:F6"/>
    <mergeCell ref="A2:F2"/>
    <mergeCell ref="A33:F33"/>
    <mergeCell ref="A30:B30"/>
    <mergeCell ref="A28:F28"/>
    <mergeCell ref="A29:B29"/>
  </mergeCells>
  <conditionalFormatting sqref="C32">
    <cfRule type="cellIs" dxfId="76" priority="1" operator="equal">
      <formula>"FULL - no more rows can be entered"</formula>
    </cfRule>
    <cfRule type="cellIs" dxfId="75" priority="2" operator="equal">
      <formula>"NEARLY FULL - contact Powell United"</formula>
    </cfRule>
    <cfRule type="cellIs" dxfId="74" priority="3" operator="equal">
      <formula>"OK"</formula>
    </cfRule>
  </conditionalFormatting>
  <dataValidations count="1">
    <dataValidation type="list" allowBlank="1" showInputMessage="1" promptTitle="Type" prompt="Bank, Credit Card, Processor Clearing or Other." sqref="C8:C27" xr:uid="{00000000-0002-0000-0200-000000000000}">
      <formula1>"Bank,Credit Card,Processor Clearing,Other"</formula1>
    </dataValidation>
  </dataValidation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F0"/>
  </sheetPr>
  <dimension ref="A1:I42"/>
  <sheetViews>
    <sheetView showGridLines="0" workbookViewId="0"/>
  </sheetViews>
  <sheetFormatPr defaultRowHeight="15" x14ac:dyDescent="0.25"/>
  <cols>
    <col min="1" max="1" width="3" customWidth="1"/>
    <col min="2" max="2" width="5" customWidth="1"/>
    <col min="3" max="8" width="20" customWidth="1"/>
    <col min="9" max="9" width="24" customWidth="1"/>
  </cols>
  <sheetData>
    <row r="1" spans="1:9" ht="27.95" customHeight="1" x14ac:dyDescent="0.25">
      <c r="A1" s="174" t="s">
        <v>118</v>
      </c>
      <c r="B1" s="173"/>
      <c r="C1" s="173"/>
      <c r="D1" s="173"/>
      <c r="E1" s="173"/>
      <c r="F1" s="173"/>
      <c r="G1" s="173"/>
      <c r="H1" s="173"/>
      <c r="I1" s="173"/>
    </row>
    <row r="2" spans="1:9" ht="17.100000000000001" customHeight="1" x14ac:dyDescent="0.25">
      <c r="A2" s="188" t="s">
        <v>119</v>
      </c>
      <c r="B2" s="173"/>
      <c r="C2" s="173"/>
      <c r="D2" s="173"/>
      <c r="E2" s="173"/>
      <c r="F2" s="173"/>
      <c r="G2" s="173"/>
      <c r="H2" s="173"/>
      <c r="I2" s="173"/>
    </row>
    <row r="3" spans="1:9" ht="14.1" customHeight="1" x14ac:dyDescent="0.25">
      <c r="A3" s="179" t="s">
        <v>2</v>
      </c>
      <c r="B3" s="173"/>
      <c r="C3" s="173"/>
      <c r="D3" s="173"/>
      <c r="E3" s="173"/>
      <c r="F3" s="173"/>
      <c r="G3" s="173"/>
      <c r="H3" s="173"/>
      <c r="I3" s="173"/>
    </row>
    <row r="4" spans="1:9" ht="8.1" customHeight="1" x14ac:dyDescent="0.25"/>
    <row r="5" spans="1:9" ht="20.100000000000001" customHeight="1" x14ac:dyDescent="0.25">
      <c r="A5" s="178" t="s">
        <v>120</v>
      </c>
      <c r="B5" s="173"/>
      <c r="C5" s="173"/>
      <c r="D5" s="173"/>
      <c r="E5" s="173"/>
      <c r="F5" s="173"/>
      <c r="G5" s="173"/>
      <c r="H5" s="173"/>
      <c r="I5" s="173"/>
    </row>
    <row r="6" spans="1:9" ht="49.35" customHeight="1" x14ac:dyDescent="0.25">
      <c r="B6" s="205" t="s">
        <v>121</v>
      </c>
      <c r="C6" s="173"/>
      <c r="D6" s="173"/>
      <c r="E6" s="173"/>
      <c r="F6" s="173"/>
      <c r="G6" s="173"/>
      <c r="H6" s="173"/>
      <c r="I6" s="173"/>
    </row>
    <row r="7" spans="1:9" ht="30.6" customHeight="1" x14ac:dyDescent="0.25">
      <c r="B7" s="33" t="s">
        <v>57</v>
      </c>
      <c r="C7" s="189" t="s">
        <v>122</v>
      </c>
      <c r="D7" s="173"/>
      <c r="E7" s="173"/>
      <c r="F7" s="173"/>
      <c r="G7" s="173"/>
      <c r="H7" s="173"/>
      <c r="I7" s="173"/>
    </row>
    <row r="8" spans="1:9" ht="30.6" customHeight="1" x14ac:dyDescent="0.25">
      <c r="B8" s="33" t="s">
        <v>57</v>
      </c>
      <c r="C8" s="189" t="s">
        <v>123</v>
      </c>
      <c r="D8" s="173"/>
      <c r="E8" s="173"/>
      <c r="F8" s="173"/>
      <c r="G8" s="173"/>
      <c r="H8" s="173"/>
      <c r="I8" s="173"/>
    </row>
    <row r="9" spans="1:9" ht="30.6" customHeight="1" x14ac:dyDescent="0.25">
      <c r="B9" s="33" t="s">
        <v>57</v>
      </c>
      <c r="C9" s="189" t="s">
        <v>124</v>
      </c>
      <c r="D9" s="173"/>
      <c r="E9" s="173"/>
      <c r="F9" s="173"/>
      <c r="G9" s="173"/>
      <c r="H9" s="173"/>
      <c r="I9" s="173"/>
    </row>
    <row r="10" spans="1:9" ht="17.100000000000001" customHeight="1" x14ac:dyDescent="0.25">
      <c r="B10" s="20" t="s">
        <v>57</v>
      </c>
      <c r="C10" s="186" t="s">
        <v>125</v>
      </c>
      <c r="D10" s="173"/>
      <c r="E10" s="173"/>
      <c r="F10" s="173"/>
      <c r="G10" s="173"/>
      <c r="H10" s="173"/>
      <c r="I10" s="173"/>
    </row>
    <row r="11" spans="1:9" ht="17.100000000000001" customHeight="1" x14ac:dyDescent="0.25">
      <c r="B11" s="20" t="s">
        <v>57</v>
      </c>
      <c r="C11" s="186" t="s">
        <v>126</v>
      </c>
      <c r="D11" s="173"/>
      <c r="E11" s="173"/>
      <c r="F11" s="173"/>
      <c r="G11" s="173"/>
      <c r="H11" s="173"/>
      <c r="I11" s="173"/>
    </row>
    <row r="12" spans="1:9" ht="30.6" customHeight="1" x14ac:dyDescent="0.25">
      <c r="B12" s="33" t="s">
        <v>57</v>
      </c>
      <c r="C12" s="189" t="s">
        <v>127</v>
      </c>
      <c r="D12" s="173"/>
      <c r="E12" s="173"/>
      <c r="F12" s="173"/>
      <c r="G12" s="173"/>
      <c r="H12" s="173"/>
      <c r="I12" s="173"/>
    </row>
    <row r="13" spans="1:9" ht="44.85" customHeight="1" x14ac:dyDescent="0.25">
      <c r="B13" s="33" t="s">
        <v>57</v>
      </c>
      <c r="C13" s="189" t="s">
        <v>128</v>
      </c>
      <c r="D13" s="173"/>
      <c r="E13" s="173"/>
      <c r="F13" s="173"/>
      <c r="G13" s="173"/>
      <c r="H13" s="173"/>
      <c r="I13" s="173"/>
    </row>
    <row r="14" spans="1:9" ht="30.6" customHeight="1" x14ac:dyDescent="0.25">
      <c r="B14" s="33" t="s">
        <v>57</v>
      </c>
      <c r="C14" s="189" t="s">
        <v>129</v>
      </c>
      <c r="D14" s="173"/>
      <c r="E14" s="173"/>
      <c r="F14" s="173"/>
      <c r="G14" s="173"/>
      <c r="H14" s="173"/>
      <c r="I14" s="173"/>
    </row>
    <row r="15" spans="1:9" ht="8.1" customHeight="1" x14ac:dyDescent="0.25"/>
    <row r="16" spans="1:9" ht="20.100000000000001" customHeight="1" x14ac:dyDescent="0.25">
      <c r="A16" s="178" t="s">
        <v>130</v>
      </c>
      <c r="B16" s="173"/>
      <c r="C16" s="173"/>
      <c r="D16" s="173"/>
      <c r="E16" s="173"/>
      <c r="F16" s="173"/>
      <c r="G16" s="173"/>
      <c r="H16" s="173"/>
      <c r="I16" s="173"/>
    </row>
    <row r="17" spans="1:9" ht="17.100000000000001" customHeight="1" x14ac:dyDescent="0.25">
      <c r="B17" s="34" t="s">
        <v>8</v>
      </c>
      <c r="C17" s="186" t="s">
        <v>131</v>
      </c>
      <c r="D17" s="173"/>
      <c r="E17" s="173"/>
      <c r="F17" s="173"/>
      <c r="G17" s="173"/>
      <c r="H17" s="173"/>
      <c r="I17" s="173"/>
    </row>
    <row r="18" spans="1:9" ht="17.100000000000001" customHeight="1" x14ac:dyDescent="0.25">
      <c r="B18" s="34" t="s">
        <v>10</v>
      </c>
      <c r="C18" s="186" t="s">
        <v>132</v>
      </c>
      <c r="D18" s="173"/>
      <c r="E18" s="173"/>
      <c r="F18" s="173"/>
      <c r="G18" s="173"/>
      <c r="H18" s="173"/>
      <c r="I18" s="173"/>
    </row>
    <row r="19" spans="1:9" ht="17.100000000000001" customHeight="1" x14ac:dyDescent="0.25">
      <c r="B19" s="34" t="s">
        <v>13</v>
      </c>
      <c r="C19" s="186" t="s">
        <v>133</v>
      </c>
      <c r="D19" s="173"/>
      <c r="E19" s="173"/>
      <c r="F19" s="173"/>
      <c r="G19" s="173"/>
      <c r="H19" s="173"/>
      <c r="I19" s="173"/>
    </row>
    <row r="20" spans="1:9" ht="16.350000000000001" customHeight="1" x14ac:dyDescent="0.25">
      <c r="B20" s="183" t="s">
        <v>134</v>
      </c>
      <c r="C20" s="173"/>
      <c r="D20" s="173"/>
      <c r="E20" s="173"/>
      <c r="F20" s="173"/>
      <c r="G20" s="173"/>
      <c r="H20" s="173"/>
      <c r="I20" s="173"/>
    </row>
    <row r="21" spans="1:9" ht="8.1" customHeight="1" x14ac:dyDescent="0.25"/>
    <row r="22" spans="1:9" ht="20.100000000000001" customHeight="1" x14ac:dyDescent="0.25">
      <c r="A22" s="178" t="s">
        <v>135</v>
      </c>
      <c r="B22" s="173"/>
      <c r="C22" s="173"/>
      <c r="D22" s="173"/>
      <c r="E22" s="173"/>
      <c r="F22" s="173"/>
      <c r="G22" s="173"/>
      <c r="H22" s="173"/>
      <c r="I22" s="173"/>
    </row>
    <row r="23" spans="1:9" ht="32.1" customHeight="1" x14ac:dyDescent="0.25">
      <c r="B23" s="199" t="s">
        <v>136</v>
      </c>
      <c r="C23" s="173"/>
      <c r="D23" s="173"/>
      <c r="E23" s="173"/>
      <c r="F23" s="173"/>
      <c r="G23" s="173"/>
      <c r="H23" s="173"/>
      <c r="I23" s="173"/>
    </row>
    <row r="24" spans="1:9" x14ac:dyDescent="0.25">
      <c r="B24" s="200" t="s">
        <v>137</v>
      </c>
      <c r="C24" s="173"/>
      <c r="D24" s="173"/>
      <c r="E24" s="202"/>
      <c r="F24" s="203"/>
      <c r="G24" s="204"/>
    </row>
    <row r="25" spans="1:9" x14ac:dyDescent="0.25">
      <c r="B25" s="201" t="s">
        <v>138</v>
      </c>
      <c r="C25" s="173"/>
      <c r="D25" s="173"/>
      <c r="E25" s="36">
        <f>'2. Setup'!$C$10</f>
        <v>2026</v>
      </c>
    </row>
    <row r="26" spans="1:9" ht="8.1" customHeight="1" x14ac:dyDescent="0.25"/>
    <row r="27" spans="1:9" ht="20.100000000000001" customHeight="1" x14ac:dyDescent="0.25">
      <c r="A27" s="178" t="s">
        <v>139</v>
      </c>
      <c r="B27" s="173"/>
      <c r="C27" s="173"/>
      <c r="D27" s="173"/>
      <c r="E27" s="173"/>
      <c r="F27" s="173"/>
      <c r="G27" s="173"/>
      <c r="H27" s="173"/>
      <c r="I27" s="173"/>
    </row>
    <row r="28" spans="1:9" ht="15.6" customHeight="1" x14ac:dyDescent="0.25">
      <c r="B28" s="182" t="s">
        <v>140</v>
      </c>
      <c r="C28" s="173"/>
      <c r="D28" s="173"/>
      <c r="E28" s="173"/>
      <c r="F28" s="173"/>
      <c r="G28" s="173"/>
      <c r="H28" s="173"/>
      <c r="I28" s="173"/>
    </row>
    <row r="29" spans="1:9" ht="409.6" customHeight="1" x14ac:dyDescent="0.25">
      <c r="B29" s="198" t="str">
        <f>IF($E$24="","STOP - choose the account in the yellow cell above. The prompt appears here as soon as you do, already filled in. Do not type a prompt of your own.","You are converting a bank or credit card statement into rows for a bookkeeping"&amp;CHAR(10)&amp;"spreadsheet. Extract only. Do not categorize, interpret, or advise."&amp;CHAR(10)&amp;""&amp;CHAR(10)&amp;"Return a table with EXACTLY these six columns, in this order:"&amp;CHAR(10)&amp;"Date | Account | Description | Money In | Money Out | Source ref"&amp;CHAR(10)&amp;""&amp;CHAR(10)&amp;"Rules:"&amp;CHAR(10)&amp;"1. Date: MM/DD/YYYY, the posting date. If the year is missing use "&amp;$E$25&amp;"."&amp;CHAR(10)&amp;"2. Account: put "&amp;$E$24&amp;" on every row."&amp;CHAR(10)&amp;"3. Description: copy the statement's wording VERBATIM. Do not tidy it, shorten it,"&amp;CHAR(10)&amp;"   expand abbreviations or make it readable. The spreadsheet matches on that raw"&amp;CHAR(10)&amp;"   text, so rewriting it breaks the automation."&amp;CHAR(10)&amp;"4. Money In: deposits and credits only, as a POSITIVE number. Otherwise blank."&amp;CHAR(10)&amp;"5. Money Out: payments, withdrawals, fees and charges, as a POSITIVE number."&amp;CHAR(10)&amp;"   Otherwise blank."&amp;CHAR(10)&amp;"6. Exactly one of Money In or Money Out per row. Never both. Never a negative."&amp;CHAR(10)&amp;"7. Source ref: the statement page or line number if you can see one."&amp;CHAR(10)&amp;"8. One row per transaction. Never group, merge, net or summarize."&amp;CHAR(10)&amp;"9. Exclude beginning balance, ending balance, running balances, subtotals and any"&amp;CHAR(10)&amp;"   ""total deposits"" or ""total withdrawals"" line."&amp;CHAR(10)&amp;"10. Do NOT add a category column and do not guess a category."&amp;CHAR(10)&amp;"11. NEVER invent a transaction or an amount. If a line is unreadable or ambiguous,"&amp;CHAR(10)&amp;"    still return the row, write UNCLEAR at the start of the Description followed by"&amp;CHAR(10)&amp;"    whatever you can make out, and leave the amount blank."&amp;CHAR(10)&amp;"12. Skip the statement's own column headings. A line reading Date, Description,"&amp;CHAR(10)&amp;"    Amount or similar is the header of the table, not a transaction. Every row you"&amp;CHAR(10)&amp;"    return must start with a date."&amp;CHAR(10)&amp;"13. Do NOT output a header row. The first line must be the first transaction,"&amp;CHAR(10)&amp;"    starting with its date. No column titles, no separator line, no blank first"&amp;CHAR(10)&amp;"    line, no row numbers."&amp;CHAR(10)&amp;""&amp;CHAR(10)&amp;"After the table, report exactly three numbers:"&amp;CHAR(10)&amp;"- the number of transaction rows you produced"&amp;CHAR(10)&amp;"- the total of Money In"&amp;CHAR(10)&amp;"- the total of Money Out"&amp;CHAR(10)&amp;"- confirm that the first character of every row you returned is a digit"&amp;CHAR(10)&amp;""&amp;CHAR(10)&amp;"Then list any row you were unsure about and why."&amp;CHAR(10)&amp;""&amp;CHAR(10)&amp;"Output tab-separated values in a code block, data rows only. The first character"&amp;CHAR(10)&amp;"of the first line must be a digit - the first transaction's date.")</f>
        <v>STOP - choose the account in the yellow cell above. The prompt appears here as soon as you do, already filled in. Do not type a prompt of your own.</v>
      </c>
      <c r="C29" s="173"/>
      <c r="D29" s="173"/>
      <c r="E29" s="173"/>
      <c r="F29" s="173"/>
      <c r="G29" s="173"/>
      <c r="H29" s="173"/>
      <c r="I29" s="173"/>
    </row>
    <row r="30" spans="1:9" ht="8.1" customHeight="1" x14ac:dyDescent="0.25"/>
    <row r="31" spans="1:9" ht="30.6" customHeight="1" x14ac:dyDescent="0.25">
      <c r="B31" s="192" t="s">
        <v>141</v>
      </c>
      <c r="C31" s="173"/>
      <c r="D31" s="173"/>
      <c r="E31" s="173"/>
      <c r="F31" s="173"/>
      <c r="G31" s="173"/>
      <c r="H31" s="173"/>
      <c r="I31" s="173"/>
    </row>
    <row r="32" spans="1:9" ht="8.1" customHeight="1" x14ac:dyDescent="0.25"/>
    <row r="33" spans="1:9" ht="20.100000000000001" customHeight="1" x14ac:dyDescent="0.25">
      <c r="A33" s="178" t="s">
        <v>142</v>
      </c>
      <c r="B33" s="173"/>
      <c r="C33" s="173"/>
      <c r="D33" s="173"/>
      <c r="E33" s="173"/>
      <c r="F33" s="173"/>
      <c r="G33" s="173"/>
      <c r="H33" s="173"/>
      <c r="I33" s="173"/>
    </row>
    <row r="34" spans="1:9" ht="30.6" customHeight="1" x14ac:dyDescent="0.25">
      <c r="B34" s="192" t="s">
        <v>143</v>
      </c>
      <c r="C34" s="173"/>
      <c r="D34" s="173"/>
      <c r="E34" s="173"/>
      <c r="F34" s="173"/>
      <c r="G34" s="173"/>
      <c r="H34" s="173"/>
      <c r="I34" s="173"/>
    </row>
    <row r="35" spans="1:9" ht="342.75" customHeight="1" x14ac:dyDescent="0.25">
      <c r="B35" s="198" t="s">
        <v>144</v>
      </c>
      <c r="C35" s="173"/>
      <c r="D35" s="173"/>
      <c r="E35" s="173"/>
      <c r="F35" s="173"/>
      <c r="G35" s="173"/>
      <c r="H35" s="173"/>
      <c r="I35" s="173"/>
    </row>
    <row r="36" spans="1:9" ht="8.1" customHeight="1" x14ac:dyDescent="0.25"/>
    <row r="37" spans="1:9" ht="20.100000000000001" customHeight="1" x14ac:dyDescent="0.25">
      <c r="A37" s="178" t="s">
        <v>145</v>
      </c>
      <c r="B37" s="173"/>
      <c r="C37" s="173"/>
      <c r="D37" s="173"/>
      <c r="E37" s="173"/>
      <c r="F37" s="173"/>
      <c r="G37" s="173"/>
      <c r="H37" s="173"/>
      <c r="I37" s="173"/>
    </row>
    <row r="38" spans="1:9" ht="30.6" customHeight="1" x14ac:dyDescent="0.25">
      <c r="B38" s="33" t="s">
        <v>57</v>
      </c>
      <c r="C38" s="189" t="s">
        <v>146</v>
      </c>
      <c r="D38" s="173"/>
      <c r="E38" s="173"/>
      <c r="F38" s="173"/>
      <c r="G38" s="173"/>
      <c r="H38" s="173"/>
      <c r="I38" s="173"/>
    </row>
    <row r="39" spans="1:9" ht="17.100000000000001" customHeight="1" x14ac:dyDescent="0.25">
      <c r="B39" s="20" t="s">
        <v>57</v>
      </c>
      <c r="C39" s="186" t="s">
        <v>147</v>
      </c>
      <c r="D39" s="173"/>
      <c r="E39" s="173"/>
      <c r="F39" s="173"/>
      <c r="G39" s="173"/>
      <c r="H39" s="173"/>
      <c r="I39" s="173"/>
    </row>
    <row r="40" spans="1:9" ht="17.100000000000001" customHeight="1" x14ac:dyDescent="0.25">
      <c r="B40" s="20" t="s">
        <v>57</v>
      </c>
      <c r="C40" s="186" t="s">
        <v>148</v>
      </c>
      <c r="D40" s="173"/>
      <c r="E40" s="173"/>
      <c r="F40" s="173"/>
      <c r="G40" s="173"/>
      <c r="H40" s="173"/>
      <c r="I40" s="173"/>
    </row>
    <row r="41" spans="1:9" ht="8.1" customHeight="1" x14ac:dyDescent="0.25"/>
    <row r="42" spans="1:9" ht="15.6" customHeight="1" x14ac:dyDescent="0.25">
      <c r="A42" s="187" t="s">
        <v>69</v>
      </c>
      <c r="B42" s="173"/>
      <c r="C42" s="173"/>
      <c r="D42" s="173"/>
      <c r="E42" s="173"/>
      <c r="F42" s="173"/>
      <c r="G42" s="173"/>
      <c r="H42" s="173"/>
      <c r="I42" s="173"/>
    </row>
  </sheetData>
  <sheetProtection sheet="1" formatCells="0" formatColumns="0" formatRows="0" insertRows="0" deleteRows="0"/>
  <mergeCells count="35">
    <mergeCell ref="A37:I37"/>
    <mergeCell ref="C39:I39"/>
    <mergeCell ref="C8:I8"/>
    <mergeCell ref="A27:I27"/>
    <mergeCell ref="A42:I42"/>
    <mergeCell ref="A22:I22"/>
    <mergeCell ref="B23:I23"/>
    <mergeCell ref="B24:D24"/>
    <mergeCell ref="C14:I14"/>
    <mergeCell ref="B29:I29"/>
    <mergeCell ref="B34:I34"/>
    <mergeCell ref="B28:I28"/>
    <mergeCell ref="B25:D25"/>
    <mergeCell ref="E24:G24"/>
    <mergeCell ref="C40:I40"/>
    <mergeCell ref="B31:I31"/>
    <mergeCell ref="C38:I38"/>
    <mergeCell ref="C19:I19"/>
    <mergeCell ref="B20:I20"/>
    <mergeCell ref="C17:I17"/>
    <mergeCell ref="A1:I1"/>
    <mergeCell ref="C12:I12"/>
    <mergeCell ref="C11:I11"/>
    <mergeCell ref="B35:I35"/>
    <mergeCell ref="A16:I16"/>
    <mergeCell ref="A2:I2"/>
    <mergeCell ref="C18:I18"/>
    <mergeCell ref="A33:I33"/>
    <mergeCell ref="A5:I5"/>
    <mergeCell ref="C10:I10"/>
    <mergeCell ref="A3:I3"/>
    <mergeCell ref="C7:I7"/>
    <mergeCell ref="C13:I13"/>
    <mergeCell ref="C9:I9"/>
    <mergeCell ref="B6:I6"/>
  </mergeCells>
  <dataValidations count="1">
    <dataValidation type="list" allowBlank="1" showInputMessage="1" promptTitle="Account" prompt="Pick the account this statement belongs to." sqref="E24" xr:uid="{00000000-0002-0000-0300-000000000000}">
      <formula1>Acct_Name</formula1>
    </dataValidation>
  </dataValidations>
  <pageMargins left="0.75" right="0.75" top="1" bottom="1" header="0.5" footer="0.5"/>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B050"/>
  </sheetPr>
  <dimension ref="A1:N529"/>
  <sheetViews>
    <sheetView showGridLines="0" workbookViewId="0">
      <pane xSplit="5" ySplit="9" topLeftCell="F10" activePane="bottomRight" state="frozen"/>
      <selection pane="topRight"/>
      <selection pane="bottomLeft"/>
      <selection pane="bottomRight"/>
    </sheetView>
  </sheetViews>
  <sheetFormatPr defaultRowHeight="15" x14ac:dyDescent="0.25"/>
  <cols>
    <col min="1" max="1" width="3" customWidth="1"/>
    <col min="2" max="2" width="11" customWidth="1"/>
    <col min="3" max="3" width="19" customWidth="1"/>
    <col min="4" max="4" width="11" customWidth="1"/>
    <col min="5" max="5" width="42" customWidth="1"/>
    <col min="6" max="7" width="12" customWidth="1"/>
    <col min="8" max="8" width="16" customWidth="1"/>
    <col min="9" max="9" width="10" customWidth="1"/>
    <col min="10" max="10" width="12" customWidth="1"/>
    <col min="11" max="11" width="30" customWidth="1"/>
    <col min="12" max="12" width="46" customWidth="1"/>
    <col min="13" max="13" width="11" customWidth="1"/>
    <col min="14" max="14" width="13" customWidth="1"/>
  </cols>
  <sheetData>
    <row r="1" spans="1:14" ht="27.95" customHeight="1" x14ac:dyDescent="0.25">
      <c r="A1" s="174" t="s">
        <v>149</v>
      </c>
      <c r="B1" s="173"/>
      <c r="C1" s="173"/>
      <c r="D1" s="173"/>
      <c r="E1" s="173"/>
      <c r="F1" s="173"/>
      <c r="G1" s="173"/>
      <c r="H1" s="173"/>
      <c r="I1" s="173"/>
      <c r="J1" s="173"/>
      <c r="K1" s="173"/>
      <c r="L1" s="173"/>
      <c r="M1" s="173"/>
      <c r="N1" s="173"/>
    </row>
    <row r="2" spans="1:14" ht="17.100000000000001" customHeight="1" x14ac:dyDescent="0.25">
      <c r="A2" s="188" t="s">
        <v>150</v>
      </c>
      <c r="B2" s="173"/>
      <c r="C2" s="173"/>
      <c r="D2" s="173"/>
      <c r="E2" s="173"/>
      <c r="F2" s="173"/>
      <c r="G2" s="173"/>
      <c r="H2" s="173"/>
      <c r="I2" s="173"/>
      <c r="J2" s="173"/>
      <c r="K2" s="173"/>
      <c r="L2" s="173"/>
      <c r="M2" s="173"/>
      <c r="N2" s="173"/>
    </row>
    <row r="3" spans="1:14" ht="14.1" customHeight="1" x14ac:dyDescent="0.25">
      <c r="A3" s="179" t="s">
        <v>2</v>
      </c>
      <c r="B3" s="173"/>
      <c r="C3" s="173"/>
      <c r="D3" s="173"/>
      <c r="E3" s="173"/>
      <c r="F3" s="173"/>
      <c r="G3" s="173"/>
      <c r="H3" s="173"/>
      <c r="I3" s="173"/>
      <c r="J3" s="173"/>
      <c r="K3" s="173"/>
      <c r="L3" s="173"/>
      <c r="M3" s="173"/>
      <c r="N3" s="173"/>
    </row>
    <row r="4" spans="1:14" ht="8.1" customHeight="1" x14ac:dyDescent="0.25"/>
    <row r="5" spans="1:14" ht="20.100000000000001" customHeight="1" x14ac:dyDescent="0.25">
      <c r="A5" s="178" t="s">
        <v>151</v>
      </c>
      <c r="B5" s="173"/>
      <c r="C5" s="173"/>
      <c r="D5" s="173"/>
      <c r="E5" s="173"/>
      <c r="F5" s="173"/>
      <c r="G5" s="173"/>
      <c r="H5" s="173"/>
      <c r="I5" s="173"/>
      <c r="J5" s="173"/>
      <c r="K5" s="173"/>
      <c r="L5" s="173"/>
      <c r="M5" s="173"/>
      <c r="N5" s="173"/>
    </row>
    <row r="6" spans="1:14" ht="24" customHeight="1" x14ac:dyDescent="0.25">
      <c r="B6" s="209" t="s">
        <v>152</v>
      </c>
      <c r="C6" s="191"/>
      <c r="D6" s="209" t="s">
        <v>153</v>
      </c>
      <c r="E6" s="191"/>
      <c r="F6" s="209" t="s">
        <v>154</v>
      </c>
      <c r="G6" s="191"/>
      <c r="H6" s="209" t="s">
        <v>155</v>
      </c>
      <c r="I6" s="191"/>
      <c r="J6" s="209" t="s">
        <v>156</v>
      </c>
      <c r="K6" s="191"/>
      <c r="L6" s="209" t="s">
        <v>157</v>
      </c>
      <c r="M6" s="191"/>
    </row>
    <row r="7" spans="1:14" x14ac:dyDescent="0.25">
      <c r="B7" s="213"/>
      <c r="C7" s="204"/>
      <c r="D7" s="211"/>
      <c r="E7" s="204"/>
      <c r="F7" s="212"/>
      <c r="G7" s="204"/>
      <c r="H7" s="212"/>
      <c r="I7" s="204"/>
      <c r="J7" s="208"/>
      <c r="K7" s="204"/>
      <c r="L7" s="208"/>
      <c r="M7" s="204"/>
    </row>
    <row r="8" spans="1:14" ht="15" customHeight="1" x14ac:dyDescent="0.25">
      <c r="B8" s="207" t="str">
        <f>"Tie-out: "&amp;$D$518</f>
        <v>Tie-out: Enter the statement totals above</v>
      </c>
      <c r="C8" s="191"/>
      <c r="D8" s="207" t="str">
        <f>"Rows in batch: "&amp;$D$510</f>
        <v>Rows in batch: 0</v>
      </c>
      <c r="E8" s="191"/>
      <c r="F8" s="207" t="str">
        <f>"Deposit diff: "&amp;TEXT($D$515,"$#,##0.00")</f>
        <v>Deposit diff: $0.00</v>
      </c>
      <c r="G8" s="191"/>
      <c r="H8" s="207" t="str">
        <f>"Withdrawal diff: "&amp;TEXT($D$516,"$#,##0.00")</f>
        <v>Withdrawal diff: $0.00</v>
      </c>
      <c r="I8" s="191"/>
      <c r="J8" s="207" t="str">
        <f>"Not admissible: "&amp;$D$517</f>
        <v>Not admissible: 0</v>
      </c>
      <c r="K8" s="191"/>
      <c r="L8" s="207" t="str">
        <f>IF(OR($B$7="",$D$7="",N($F$7)=0,N($H$7)=0,AND(N($J$7)=0,N($L$7)=0)),"Header incomplete - checks are OFF","Header complete")</f>
        <v>Header incomplete - checks are OFF</v>
      </c>
      <c r="M8" s="214"/>
      <c r="N8" s="191"/>
    </row>
    <row r="9" spans="1:14" ht="39.950000000000003" customHeight="1" x14ac:dyDescent="0.25">
      <c r="A9" s="27"/>
      <c r="B9" s="27" t="s">
        <v>158</v>
      </c>
      <c r="C9" s="27" t="s">
        <v>159</v>
      </c>
      <c r="D9" s="27" t="s">
        <v>153</v>
      </c>
      <c r="E9" s="27" t="s">
        <v>160</v>
      </c>
      <c r="F9" s="27" t="s">
        <v>161</v>
      </c>
      <c r="G9" s="27" t="s">
        <v>162</v>
      </c>
      <c r="H9" s="27" t="s">
        <v>163</v>
      </c>
      <c r="I9" s="27" t="s">
        <v>164</v>
      </c>
      <c r="J9" s="27" t="s">
        <v>165</v>
      </c>
      <c r="K9" s="27" t="s">
        <v>166</v>
      </c>
      <c r="L9" s="27" t="s">
        <v>167</v>
      </c>
      <c r="M9" s="27" t="s">
        <v>168</v>
      </c>
    </row>
    <row r="10" spans="1:14" ht="12.95" customHeight="1" x14ac:dyDescent="0.25">
      <c r="B10" s="39"/>
      <c r="C10" s="37"/>
      <c r="D10" s="28"/>
      <c r="E10" s="35"/>
      <c r="F10" s="38"/>
      <c r="G10" s="38"/>
      <c r="H10" s="40"/>
      <c r="I10" s="41" t="str">
        <f>IF($E10="","",IF(COUNTIF($K$10:$K10,$K10)&gt;1,"DUPLICATE","No"))</f>
        <v/>
      </c>
      <c r="J10" s="41" t="str">
        <f t="shared" ref="J10:J73" si="0">IF($E10="","",IF(SUMPRODUCT(--(Txn_Acct=$D10),--(Txn_Date=$C10),--(Txn_Desc=$E10),--(ROUND(Txn_In+0,2)=ROUND(N($F10),2)),--(ROUND(Txn_Out+0,2)=ROUND(N($G10),2)))&gt;0,"ALREADY IN LEDGER","No"))</f>
        <v/>
      </c>
      <c r="K10" s="42" t="str">
        <f t="shared" ref="K10:K73" si="1">IF($E10="","",UPPER(TRIM($D10))&amp;"|"&amp;TEXT($C10,"yyyy-mm-dd")&amp;"|"&amp;UPPER(TRIM($E10))&amp;"|"&amp;TEXT(ROUND(N($F10),2),"0.00")&amp;"|"&amp;TEXT(ROUND(N($G10),2),"0.00"))</f>
        <v/>
      </c>
      <c r="L10" s="43" t="str">
        <f t="shared" ref="L10:L73" si="2">IF($E10="","",TRIM(IF($D10="","Missing account. ",IF(COUNTIF(Acct_Name,$D10)=0,"Unknown account. ",""))&amp;IF($C10="","Missing date. ",IF(NOT(ISNUMBER($C10)),"Invalid date. ",IF(AND(N($F$7)&gt;0,N($H$7)&gt;0,OR($C10&lt;$F$7,$C10&gt;$H$7)),"Outside statement period. ","")))&amp;IF(AND(N($F10)&gt;0,N($G10)&gt;0),"Both Money In and Money Out populated. ","")&amp;IF(AND(N($F10)=0,N($G10)=0),"No amount. ","")&amp;IF(OR(N($F10)&lt;0,N($G10)&lt;0),"Negative amount. ","")&amp;IF($B10="","Batch ID missing on this row - fill it down from B7. ","")&amp;IF(OR($B$7="",$D$7=""),"Batch header incomplete - fill in B7 and D7. ","")&amp;IF(OR(N($F$7)=0,N($H$7)=0),"Statement period missing on the header - the date check is OFF. ","")&amp;IF(AND(N($J$7)=0,N($L$7)=0),"Statement totals missing on the header - the tie-out is OFF. ","")))</f>
        <v/>
      </c>
      <c r="M10" s="44" t="str">
        <f t="shared" ref="M10:M73" si="3">IF($E10="","",IF(AND($L10="",$I10="No",$J10="ALREADY IN LEDGER"),"POSTED",IF(AND($L10="",$I10="No",$J10="No"),"Yes","NO")))</f>
        <v/>
      </c>
    </row>
    <row r="11" spans="1:14" ht="12.95" customHeight="1" x14ac:dyDescent="0.25">
      <c r="B11" s="39"/>
      <c r="C11" s="37"/>
      <c r="D11" s="28"/>
      <c r="E11" s="35"/>
      <c r="F11" s="38"/>
      <c r="G11" s="38"/>
      <c r="H11" s="40"/>
      <c r="I11" s="45" t="str">
        <f>IF($E11="","",IF(COUNTIF($K$10:$K11,$K11)&gt;1,"DUPLICATE","No"))</f>
        <v/>
      </c>
      <c r="J11" s="45" t="str">
        <f t="shared" si="0"/>
        <v/>
      </c>
      <c r="K11" s="46" t="str">
        <f t="shared" si="1"/>
        <v/>
      </c>
      <c r="L11" s="47" t="str">
        <f t="shared" si="2"/>
        <v/>
      </c>
      <c r="M11" s="48" t="str">
        <f t="shared" si="3"/>
        <v/>
      </c>
    </row>
    <row r="12" spans="1:14" ht="12.95" customHeight="1" x14ac:dyDescent="0.25">
      <c r="B12" s="39"/>
      <c r="C12" s="37"/>
      <c r="D12" s="28"/>
      <c r="E12" s="35"/>
      <c r="F12" s="38"/>
      <c r="G12" s="38"/>
      <c r="H12" s="40"/>
      <c r="I12" s="41" t="str">
        <f>IF($E12="","",IF(COUNTIF($K$10:$K12,$K12)&gt;1,"DUPLICATE","No"))</f>
        <v/>
      </c>
      <c r="J12" s="41" t="str">
        <f t="shared" si="0"/>
        <v/>
      </c>
      <c r="K12" s="42" t="str">
        <f t="shared" si="1"/>
        <v/>
      </c>
      <c r="L12" s="43" t="str">
        <f t="shared" si="2"/>
        <v/>
      </c>
      <c r="M12" s="44" t="str">
        <f t="shared" si="3"/>
        <v/>
      </c>
    </row>
    <row r="13" spans="1:14" ht="12.95" customHeight="1" x14ac:dyDescent="0.25">
      <c r="B13" s="39"/>
      <c r="C13" s="37"/>
      <c r="D13" s="28"/>
      <c r="E13" s="35"/>
      <c r="F13" s="38"/>
      <c r="G13" s="38"/>
      <c r="H13" s="40"/>
      <c r="I13" s="45" t="str">
        <f>IF($E13="","",IF(COUNTIF($K$10:$K13,$K13)&gt;1,"DUPLICATE","No"))</f>
        <v/>
      </c>
      <c r="J13" s="45" t="str">
        <f t="shared" si="0"/>
        <v/>
      </c>
      <c r="K13" s="46" t="str">
        <f t="shared" si="1"/>
        <v/>
      </c>
      <c r="L13" s="47" t="str">
        <f t="shared" si="2"/>
        <v/>
      </c>
      <c r="M13" s="48" t="str">
        <f t="shared" si="3"/>
        <v/>
      </c>
    </row>
    <row r="14" spans="1:14" ht="12.95" customHeight="1" x14ac:dyDescent="0.25">
      <c r="B14" s="39"/>
      <c r="C14" s="37"/>
      <c r="D14" s="28"/>
      <c r="E14" s="35"/>
      <c r="F14" s="38"/>
      <c r="G14" s="38"/>
      <c r="H14" s="40"/>
      <c r="I14" s="41" t="str">
        <f>IF($E14="","",IF(COUNTIF($K$10:$K14,$K14)&gt;1,"DUPLICATE","No"))</f>
        <v/>
      </c>
      <c r="J14" s="41" t="str">
        <f t="shared" si="0"/>
        <v/>
      </c>
      <c r="K14" s="42" t="str">
        <f t="shared" si="1"/>
        <v/>
      </c>
      <c r="L14" s="43" t="str">
        <f t="shared" si="2"/>
        <v/>
      </c>
      <c r="M14" s="44" t="str">
        <f t="shared" si="3"/>
        <v/>
      </c>
    </row>
    <row r="15" spans="1:14" ht="12.95" customHeight="1" x14ac:dyDescent="0.25">
      <c r="B15" s="39"/>
      <c r="C15" s="37"/>
      <c r="D15" s="28"/>
      <c r="E15" s="35"/>
      <c r="F15" s="38"/>
      <c r="G15" s="38"/>
      <c r="H15" s="40"/>
      <c r="I15" s="45" t="str">
        <f>IF($E15="","",IF(COUNTIF($K$10:$K15,$K15)&gt;1,"DUPLICATE","No"))</f>
        <v/>
      </c>
      <c r="J15" s="45" t="str">
        <f t="shared" si="0"/>
        <v/>
      </c>
      <c r="K15" s="46" t="str">
        <f t="shared" si="1"/>
        <v/>
      </c>
      <c r="L15" s="47" t="str">
        <f t="shared" si="2"/>
        <v/>
      </c>
      <c r="M15" s="48" t="str">
        <f t="shared" si="3"/>
        <v/>
      </c>
    </row>
    <row r="16" spans="1:14" ht="12.95" customHeight="1" x14ac:dyDescent="0.25">
      <c r="B16" s="39"/>
      <c r="C16" s="37"/>
      <c r="D16" s="28"/>
      <c r="E16" s="35"/>
      <c r="F16" s="38"/>
      <c r="G16" s="38"/>
      <c r="H16" s="40"/>
      <c r="I16" s="41" t="str">
        <f>IF($E16="","",IF(COUNTIF($K$10:$K16,$K16)&gt;1,"DUPLICATE","No"))</f>
        <v/>
      </c>
      <c r="J16" s="41" t="str">
        <f t="shared" si="0"/>
        <v/>
      </c>
      <c r="K16" s="42" t="str">
        <f t="shared" si="1"/>
        <v/>
      </c>
      <c r="L16" s="43" t="str">
        <f t="shared" si="2"/>
        <v/>
      </c>
      <c r="M16" s="44" t="str">
        <f t="shared" si="3"/>
        <v/>
      </c>
    </row>
    <row r="17" spans="2:13" ht="12.95" customHeight="1" x14ac:dyDescent="0.25">
      <c r="B17" s="39"/>
      <c r="C17" s="37"/>
      <c r="D17" s="28"/>
      <c r="E17" s="35"/>
      <c r="F17" s="38"/>
      <c r="G17" s="38"/>
      <c r="H17" s="40"/>
      <c r="I17" s="45" t="str">
        <f>IF($E17="","",IF(COUNTIF($K$10:$K17,$K17)&gt;1,"DUPLICATE","No"))</f>
        <v/>
      </c>
      <c r="J17" s="45" t="str">
        <f t="shared" si="0"/>
        <v/>
      </c>
      <c r="K17" s="46" t="str">
        <f t="shared" si="1"/>
        <v/>
      </c>
      <c r="L17" s="47" t="str">
        <f t="shared" si="2"/>
        <v/>
      </c>
      <c r="M17" s="48" t="str">
        <f t="shared" si="3"/>
        <v/>
      </c>
    </row>
    <row r="18" spans="2:13" ht="12.95" customHeight="1" x14ac:dyDescent="0.25">
      <c r="B18" s="39"/>
      <c r="C18" s="37"/>
      <c r="D18" s="28"/>
      <c r="E18" s="35"/>
      <c r="F18" s="38"/>
      <c r="G18" s="38"/>
      <c r="H18" s="40"/>
      <c r="I18" s="41" t="str">
        <f>IF($E18="","",IF(COUNTIF($K$10:$K18,$K18)&gt;1,"DUPLICATE","No"))</f>
        <v/>
      </c>
      <c r="J18" s="41" t="str">
        <f t="shared" si="0"/>
        <v/>
      </c>
      <c r="K18" s="42" t="str">
        <f t="shared" si="1"/>
        <v/>
      </c>
      <c r="L18" s="43" t="str">
        <f t="shared" si="2"/>
        <v/>
      </c>
      <c r="M18" s="44" t="str">
        <f t="shared" si="3"/>
        <v/>
      </c>
    </row>
    <row r="19" spans="2:13" ht="12.95" customHeight="1" x14ac:dyDescent="0.25">
      <c r="B19" s="39"/>
      <c r="C19" s="37"/>
      <c r="D19" s="28"/>
      <c r="E19" s="35"/>
      <c r="F19" s="38"/>
      <c r="G19" s="38"/>
      <c r="H19" s="40"/>
      <c r="I19" s="45" t="str">
        <f>IF($E19="","",IF(COUNTIF($K$10:$K19,$K19)&gt;1,"DUPLICATE","No"))</f>
        <v/>
      </c>
      <c r="J19" s="45" t="str">
        <f t="shared" si="0"/>
        <v/>
      </c>
      <c r="K19" s="46" t="str">
        <f t="shared" si="1"/>
        <v/>
      </c>
      <c r="L19" s="47" t="str">
        <f t="shared" si="2"/>
        <v/>
      </c>
      <c r="M19" s="48" t="str">
        <f t="shared" si="3"/>
        <v/>
      </c>
    </row>
    <row r="20" spans="2:13" ht="12.95" customHeight="1" x14ac:dyDescent="0.25">
      <c r="B20" s="39"/>
      <c r="C20" s="37"/>
      <c r="D20" s="28"/>
      <c r="E20" s="35"/>
      <c r="F20" s="38"/>
      <c r="G20" s="38"/>
      <c r="H20" s="40"/>
      <c r="I20" s="41" t="str">
        <f>IF($E20="","",IF(COUNTIF($K$10:$K20,$K20)&gt;1,"DUPLICATE","No"))</f>
        <v/>
      </c>
      <c r="J20" s="41" t="str">
        <f t="shared" si="0"/>
        <v/>
      </c>
      <c r="K20" s="42" t="str">
        <f t="shared" si="1"/>
        <v/>
      </c>
      <c r="L20" s="43" t="str">
        <f t="shared" si="2"/>
        <v/>
      </c>
      <c r="M20" s="44" t="str">
        <f t="shared" si="3"/>
        <v/>
      </c>
    </row>
    <row r="21" spans="2:13" ht="12.95" customHeight="1" x14ac:dyDescent="0.25">
      <c r="B21" s="39"/>
      <c r="C21" s="37"/>
      <c r="D21" s="28"/>
      <c r="E21" s="35"/>
      <c r="F21" s="38"/>
      <c r="G21" s="38"/>
      <c r="H21" s="40"/>
      <c r="I21" s="45" t="str">
        <f>IF($E21="","",IF(COUNTIF($K$10:$K21,$K21)&gt;1,"DUPLICATE","No"))</f>
        <v/>
      </c>
      <c r="J21" s="45" t="str">
        <f t="shared" si="0"/>
        <v/>
      </c>
      <c r="K21" s="46" t="str">
        <f t="shared" si="1"/>
        <v/>
      </c>
      <c r="L21" s="47" t="str">
        <f t="shared" si="2"/>
        <v/>
      </c>
      <c r="M21" s="48" t="str">
        <f t="shared" si="3"/>
        <v/>
      </c>
    </row>
    <row r="22" spans="2:13" ht="12.95" customHeight="1" x14ac:dyDescent="0.25">
      <c r="B22" s="39"/>
      <c r="C22" s="37"/>
      <c r="D22" s="28"/>
      <c r="E22" s="35"/>
      <c r="F22" s="38"/>
      <c r="G22" s="38"/>
      <c r="H22" s="40"/>
      <c r="I22" s="41" t="str">
        <f>IF($E22="","",IF(COUNTIF($K$10:$K22,$K22)&gt;1,"DUPLICATE","No"))</f>
        <v/>
      </c>
      <c r="J22" s="41" t="str">
        <f t="shared" si="0"/>
        <v/>
      </c>
      <c r="K22" s="42" t="str">
        <f t="shared" si="1"/>
        <v/>
      </c>
      <c r="L22" s="43" t="str">
        <f t="shared" si="2"/>
        <v/>
      </c>
      <c r="M22" s="44" t="str">
        <f t="shared" si="3"/>
        <v/>
      </c>
    </row>
    <row r="23" spans="2:13" ht="12.95" customHeight="1" x14ac:dyDescent="0.25">
      <c r="B23" s="39"/>
      <c r="C23" s="37"/>
      <c r="D23" s="28"/>
      <c r="E23" s="35"/>
      <c r="F23" s="38"/>
      <c r="G23" s="38"/>
      <c r="H23" s="40"/>
      <c r="I23" s="45" t="str">
        <f>IF($E23="","",IF(COUNTIF($K$10:$K23,$K23)&gt;1,"DUPLICATE","No"))</f>
        <v/>
      </c>
      <c r="J23" s="45" t="str">
        <f t="shared" si="0"/>
        <v/>
      </c>
      <c r="K23" s="46" t="str">
        <f t="shared" si="1"/>
        <v/>
      </c>
      <c r="L23" s="47" t="str">
        <f t="shared" si="2"/>
        <v/>
      </c>
      <c r="M23" s="48" t="str">
        <f t="shared" si="3"/>
        <v/>
      </c>
    </row>
    <row r="24" spans="2:13" ht="12.95" customHeight="1" x14ac:dyDescent="0.25">
      <c r="B24" s="39"/>
      <c r="C24" s="37"/>
      <c r="D24" s="28"/>
      <c r="E24" s="35"/>
      <c r="F24" s="38"/>
      <c r="G24" s="38"/>
      <c r="H24" s="40"/>
      <c r="I24" s="41" t="str">
        <f>IF($E24="","",IF(COUNTIF($K$10:$K24,$K24)&gt;1,"DUPLICATE","No"))</f>
        <v/>
      </c>
      <c r="J24" s="41" t="str">
        <f t="shared" si="0"/>
        <v/>
      </c>
      <c r="K24" s="42" t="str">
        <f t="shared" si="1"/>
        <v/>
      </c>
      <c r="L24" s="43" t="str">
        <f t="shared" si="2"/>
        <v/>
      </c>
      <c r="M24" s="44" t="str">
        <f t="shared" si="3"/>
        <v/>
      </c>
    </row>
    <row r="25" spans="2:13" ht="12.95" customHeight="1" x14ac:dyDescent="0.25">
      <c r="B25" s="39"/>
      <c r="C25" s="37"/>
      <c r="D25" s="28"/>
      <c r="E25" s="35"/>
      <c r="F25" s="38"/>
      <c r="G25" s="38"/>
      <c r="H25" s="40"/>
      <c r="I25" s="45" t="str">
        <f>IF($E25="","",IF(COUNTIF($K$10:$K25,$K25)&gt;1,"DUPLICATE","No"))</f>
        <v/>
      </c>
      <c r="J25" s="45" t="str">
        <f t="shared" si="0"/>
        <v/>
      </c>
      <c r="K25" s="46" t="str">
        <f t="shared" si="1"/>
        <v/>
      </c>
      <c r="L25" s="47" t="str">
        <f t="shared" si="2"/>
        <v/>
      </c>
      <c r="M25" s="48" t="str">
        <f t="shared" si="3"/>
        <v/>
      </c>
    </row>
    <row r="26" spans="2:13" ht="12.95" customHeight="1" x14ac:dyDescent="0.25">
      <c r="B26" s="39"/>
      <c r="C26" s="37"/>
      <c r="D26" s="28"/>
      <c r="E26" s="35"/>
      <c r="F26" s="38"/>
      <c r="G26" s="38"/>
      <c r="H26" s="40"/>
      <c r="I26" s="41" t="str">
        <f>IF($E26="","",IF(COUNTIF($K$10:$K26,$K26)&gt;1,"DUPLICATE","No"))</f>
        <v/>
      </c>
      <c r="J26" s="41" t="str">
        <f t="shared" si="0"/>
        <v/>
      </c>
      <c r="K26" s="42" t="str">
        <f t="shared" si="1"/>
        <v/>
      </c>
      <c r="L26" s="43" t="str">
        <f t="shared" si="2"/>
        <v/>
      </c>
      <c r="M26" s="44" t="str">
        <f t="shared" si="3"/>
        <v/>
      </c>
    </row>
    <row r="27" spans="2:13" ht="12.95" customHeight="1" x14ac:dyDescent="0.25">
      <c r="B27" s="39"/>
      <c r="C27" s="37"/>
      <c r="D27" s="28"/>
      <c r="E27" s="35"/>
      <c r="F27" s="38"/>
      <c r="G27" s="38"/>
      <c r="H27" s="40"/>
      <c r="I27" s="45" t="str">
        <f>IF($E27="","",IF(COUNTIF($K$10:$K27,$K27)&gt;1,"DUPLICATE","No"))</f>
        <v/>
      </c>
      <c r="J27" s="45" t="str">
        <f t="shared" si="0"/>
        <v/>
      </c>
      <c r="K27" s="46" t="str">
        <f t="shared" si="1"/>
        <v/>
      </c>
      <c r="L27" s="47" t="str">
        <f t="shared" si="2"/>
        <v/>
      </c>
      <c r="M27" s="48" t="str">
        <f t="shared" si="3"/>
        <v/>
      </c>
    </row>
    <row r="28" spans="2:13" ht="12.95" customHeight="1" x14ac:dyDescent="0.25">
      <c r="B28" s="39"/>
      <c r="C28" s="37"/>
      <c r="D28" s="28"/>
      <c r="E28" s="35"/>
      <c r="F28" s="38"/>
      <c r="G28" s="38"/>
      <c r="H28" s="40"/>
      <c r="I28" s="41" t="str">
        <f>IF($E28="","",IF(COUNTIF($K$10:$K28,$K28)&gt;1,"DUPLICATE","No"))</f>
        <v/>
      </c>
      <c r="J28" s="41" t="str">
        <f t="shared" si="0"/>
        <v/>
      </c>
      <c r="K28" s="42" t="str">
        <f t="shared" si="1"/>
        <v/>
      </c>
      <c r="L28" s="43" t="str">
        <f t="shared" si="2"/>
        <v/>
      </c>
      <c r="M28" s="44" t="str">
        <f t="shared" si="3"/>
        <v/>
      </c>
    </row>
    <row r="29" spans="2:13" ht="12.95" customHeight="1" x14ac:dyDescent="0.25">
      <c r="B29" s="39"/>
      <c r="C29" s="37"/>
      <c r="D29" s="28"/>
      <c r="E29" s="35"/>
      <c r="F29" s="38"/>
      <c r="G29" s="38"/>
      <c r="H29" s="40"/>
      <c r="I29" s="45" t="str">
        <f>IF($E29="","",IF(COUNTIF($K$10:$K29,$K29)&gt;1,"DUPLICATE","No"))</f>
        <v/>
      </c>
      <c r="J29" s="45" t="str">
        <f t="shared" si="0"/>
        <v/>
      </c>
      <c r="K29" s="46" t="str">
        <f t="shared" si="1"/>
        <v/>
      </c>
      <c r="L29" s="47" t="str">
        <f t="shared" si="2"/>
        <v/>
      </c>
      <c r="M29" s="48" t="str">
        <f t="shared" si="3"/>
        <v/>
      </c>
    </row>
    <row r="30" spans="2:13" ht="12.95" customHeight="1" x14ac:dyDescent="0.25">
      <c r="B30" s="39"/>
      <c r="C30" s="37"/>
      <c r="D30" s="28"/>
      <c r="E30" s="35"/>
      <c r="F30" s="38"/>
      <c r="G30" s="38"/>
      <c r="H30" s="40"/>
      <c r="I30" s="41" t="str">
        <f>IF($E30="","",IF(COUNTIF($K$10:$K30,$K30)&gt;1,"DUPLICATE","No"))</f>
        <v/>
      </c>
      <c r="J30" s="41" t="str">
        <f t="shared" si="0"/>
        <v/>
      </c>
      <c r="K30" s="42" t="str">
        <f t="shared" si="1"/>
        <v/>
      </c>
      <c r="L30" s="43" t="str">
        <f t="shared" si="2"/>
        <v/>
      </c>
      <c r="M30" s="44" t="str">
        <f t="shared" si="3"/>
        <v/>
      </c>
    </row>
    <row r="31" spans="2:13" ht="12.95" customHeight="1" x14ac:dyDescent="0.25">
      <c r="B31" s="39"/>
      <c r="C31" s="37"/>
      <c r="D31" s="28"/>
      <c r="E31" s="35"/>
      <c r="F31" s="38"/>
      <c r="G31" s="38"/>
      <c r="H31" s="40"/>
      <c r="I31" s="45" t="str">
        <f>IF($E31="","",IF(COUNTIF($K$10:$K31,$K31)&gt;1,"DUPLICATE","No"))</f>
        <v/>
      </c>
      <c r="J31" s="45" t="str">
        <f t="shared" si="0"/>
        <v/>
      </c>
      <c r="K31" s="46" t="str">
        <f t="shared" si="1"/>
        <v/>
      </c>
      <c r="L31" s="47" t="str">
        <f t="shared" si="2"/>
        <v/>
      </c>
      <c r="M31" s="48" t="str">
        <f t="shared" si="3"/>
        <v/>
      </c>
    </row>
    <row r="32" spans="2:13" ht="12.95" customHeight="1" x14ac:dyDescent="0.25">
      <c r="B32" s="39"/>
      <c r="C32" s="37"/>
      <c r="D32" s="28"/>
      <c r="E32" s="35"/>
      <c r="F32" s="38"/>
      <c r="G32" s="38"/>
      <c r="H32" s="40"/>
      <c r="I32" s="41" t="str">
        <f>IF($E32="","",IF(COUNTIF($K$10:$K32,$K32)&gt;1,"DUPLICATE","No"))</f>
        <v/>
      </c>
      <c r="J32" s="41" t="str">
        <f t="shared" si="0"/>
        <v/>
      </c>
      <c r="K32" s="42" t="str">
        <f t="shared" si="1"/>
        <v/>
      </c>
      <c r="L32" s="43" t="str">
        <f t="shared" si="2"/>
        <v/>
      </c>
      <c r="M32" s="44" t="str">
        <f t="shared" si="3"/>
        <v/>
      </c>
    </row>
    <row r="33" spans="2:13" ht="12.95" customHeight="1" x14ac:dyDescent="0.25">
      <c r="B33" s="39"/>
      <c r="C33" s="37"/>
      <c r="D33" s="28"/>
      <c r="E33" s="35"/>
      <c r="F33" s="38"/>
      <c r="G33" s="38"/>
      <c r="H33" s="40"/>
      <c r="I33" s="45" t="str">
        <f>IF($E33="","",IF(COUNTIF($K$10:$K33,$K33)&gt;1,"DUPLICATE","No"))</f>
        <v/>
      </c>
      <c r="J33" s="45" t="str">
        <f t="shared" si="0"/>
        <v/>
      </c>
      <c r="K33" s="46" t="str">
        <f t="shared" si="1"/>
        <v/>
      </c>
      <c r="L33" s="47" t="str">
        <f t="shared" si="2"/>
        <v/>
      </c>
      <c r="M33" s="48" t="str">
        <f t="shared" si="3"/>
        <v/>
      </c>
    </row>
    <row r="34" spans="2:13" ht="12.95" customHeight="1" x14ac:dyDescent="0.25">
      <c r="B34" s="39"/>
      <c r="C34" s="37"/>
      <c r="D34" s="28"/>
      <c r="E34" s="35"/>
      <c r="F34" s="38"/>
      <c r="G34" s="38"/>
      <c r="H34" s="40"/>
      <c r="I34" s="41" t="str">
        <f>IF($E34="","",IF(COUNTIF($K$10:$K34,$K34)&gt;1,"DUPLICATE","No"))</f>
        <v/>
      </c>
      <c r="J34" s="41" t="str">
        <f t="shared" si="0"/>
        <v/>
      </c>
      <c r="K34" s="42" t="str">
        <f t="shared" si="1"/>
        <v/>
      </c>
      <c r="L34" s="43" t="str">
        <f t="shared" si="2"/>
        <v/>
      </c>
      <c r="M34" s="44" t="str">
        <f t="shared" si="3"/>
        <v/>
      </c>
    </row>
    <row r="35" spans="2:13" ht="12.95" customHeight="1" x14ac:dyDescent="0.25">
      <c r="B35" s="39"/>
      <c r="C35" s="37"/>
      <c r="D35" s="28"/>
      <c r="E35" s="35"/>
      <c r="F35" s="38"/>
      <c r="G35" s="38"/>
      <c r="H35" s="40"/>
      <c r="I35" s="45" t="str">
        <f>IF($E35="","",IF(COUNTIF($K$10:$K35,$K35)&gt;1,"DUPLICATE","No"))</f>
        <v/>
      </c>
      <c r="J35" s="45" t="str">
        <f t="shared" si="0"/>
        <v/>
      </c>
      <c r="K35" s="46" t="str">
        <f t="shared" si="1"/>
        <v/>
      </c>
      <c r="L35" s="47" t="str">
        <f t="shared" si="2"/>
        <v/>
      </c>
      <c r="M35" s="48" t="str">
        <f t="shared" si="3"/>
        <v/>
      </c>
    </row>
    <row r="36" spans="2:13" ht="12.95" customHeight="1" x14ac:dyDescent="0.25">
      <c r="B36" s="39"/>
      <c r="C36" s="37"/>
      <c r="D36" s="28"/>
      <c r="E36" s="35"/>
      <c r="F36" s="38"/>
      <c r="G36" s="38"/>
      <c r="H36" s="40"/>
      <c r="I36" s="41" t="str">
        <f>IF($E36="","",IF(COUNTIF($K$10:$K36,$K36)&gt;1,"DUPLICATE","No"))</f>
        <v/>
      </c>
      <c r="J36" s="41" t="str">
        <f t="shared" si="0"/>
        <v/>
      </c>
      <c r="K36" s="42" t="str">
        <f t="shared" si="1"/>
        <v/>
      </c>
      <c r="L36" s="43" t="str">
        <f t="shared" si="2"/>
        <v/>
      </c>
      <c r="M36" s="44" t="str">
        <f t="shared" si="3"/>
        <v/>
      </c>
    </row>
    <row r="37" spans="2:13" ht="12.95" customHeight="1" x14ac:dyDescent="0.25">
      <c r="B37" s="39"/>
      <c r="C37" s="37"/>
      <c r="D37" s="28"/>
      <c r="E37" s="35"/>
      <c r="F37" s="38"/>
      <c r="G37" s="38"/>
      <c r="H37" s="40"/>
      <c r="I37" s="45" t="str">
        <f>IF($E37="","",IF(COUNTIF($K$10:$K37,$K37)&gt;1,"DUPLICATE","No"))</f>
        <v/>
      </c>
      <c r="J37" s="45" t="str">
        <f t="shared" si="0"/>
        <v/>
      </c>
      <c r="K37" s="46" t="str">
        <f t="shared" si="1"/>
        <v/>
      </c>
      <c r="L37" s="47" t="str">
        <f t="shared" si="2"/>
        <v/>
      </c>
      <c r="M37" s="48" t="str">
        <f t="shared" si="3"/>
        <v/>
      </c>
    </row>
    <row r="38" spans="2:13" ht="12.95" customHeight="1" x14ac:dyDescent="0.25">
      <c r="B38" s="39"/>
      <c r="C38" s="37"/>
      <c r="D38" s="28"/>
      <c r="E38" s="35"/>
      <c r="F38" s="38"/>
      <c r="G38" s="38"/>
      <c r="H38" s="40"/>
      <c r="I38" s="41" t="str">
        <f>IF($E38="","",IF(COUNTIF($K$10:$K38,$K38)&gt;1,"DUPLICATE","No"))</f>
        <v/>
      </c>
      <c r="J38" s="41" t="str">
        <f t="shared" si="0"/>
        <v/>
      </c>
      <c r="K38" s="42" t="str">
        <f t="shared" si="1"/>
        <v/>
      </c>
      <c r="L38" s="43" t="str">
        <f t="shared" si="2"/>
        <v/>
      </c>
      <c r="M38" s="44" t="str">
        <f t="shared" si="3"/>
        <v/>
      </c>
    </row>
    <row r="39" spans="2:13" ht="12.95" customHeight="1" x14ac:dyDescent="0.25">
      <c r="B39" s="39"/>
      <c r="C39" s="37"/>
      <c r="D39" s="28"/>
      <c r="E39" s="35"/>
      <c r="F39" s="38"/>
      <c r="G39" s="38"/>
      <c r="H39" s="40"/>
      <c r="I39" s="45" t="str">
        <f>IF($E39="","",IF(COUNTIF($K$10:$K39,$K39)&gt;1,"DUPLICATE","No"))</f>
        <v/>
      </c>
      <c r="J39" s="45" t="str">
        <f t="shared" si="0"/>
        <v/>
      </c>
      <c r="K39" s="46" t="str">
        <f t="shared" si="1"/>
        <v/>
      </c>
      <c r="L39" s="47" t="str">
        <f t="shared" si="2"/>
        <v/>
      </c>
      <c r="M39" s="48" t="str">
        <f t="shared" si="3"/>
        <v/>
      </c>
    </row>
    <row r="40" spans="2:13" ht="12.95" customHeight="1" x14ac:dyDescent="0.25">
      <c r="B40" s="39"/>
      <c r="C40" s="37"/>
      <c r="D40" s="28"/>
      <c r="E40" s="35"/>
      <c r="F40" s="38"/>
      <c r="G40" s="38"/>
      <c r="H40" s="40"/>
      <c r="I40" s="41" t="str">
        <f>IF($E40="","",IF(COUNTIF($K$10:$K40,$K40)&gt;1,"DUPLICATE","No"))</f>
        <v/>
      </c>
      <c r="J40" s="41" t="str">
        <f t="shared" si="0"/>
        <v/>
      </c>
      <c r="K40" s="42" t="str">
        <f t="shared" si="1"/>
        <v/>
      </c>
      <c r="L40" s="43" t="str">
        <f t="shared" si="2"/>
        <v/>
      </c>
      <c r="M40" s="44" t="str">
        <f t="shared" si="3"/>
        <v/>
      </c>
    </row>
    <row r="41" spans="2:13" ht="12.95" customHeight="1" x14ac:dyDescent="0.25">
      <c r="B41" s="39"/>
      <c r="C41" s="37"/>
      <c r="D41" s="28"/>
      <c r="E41" s="35"/>
      <c r="F41" s="38"/>
      <c r="G41" s="38"/>
      <c r="H41" s="40"/>
      <c r="I41" s="45" t="str">
        <f>IF($E41="","",IF(COUNTIF($K$10:$K41,$K41)&gt;1,"DUPLICATE","No"))</f>
        <v/>
      </c>
      <c r="J41" s="45" t="str">
        <f t="shared" si="0"/>
        <v/>
      </c>
      <c r="K41" s="46" t="str">
        <f t="shared" si="1"/>
        <v/>
      </c>
      <c r="L41" s="47" t="str">
        <f t="shared" si="2"/>
        <v/>
      </c>
      <c r="M41" s="48" t="str">
        <f t="shared" si="3"/>
        <v/>
      </c>
    </row>
    <row r="42" spans="2:13" ht="12.95" customHeight="1" x14ac:dyDescent="0.25">
      <c r="B42" s="39"/>
      <c r="C42" s="37"/>
      <c r="D42" s="28"/>
      <c r="E42" s="35"/>
      <c r="F42" s="38"/>
      <c r="G42" s="38"/>
      <c r="H42" s="40"/>
      <c r="I42" s="41" t="str">
        <f>IF($E42="","",IF(COUNTIF($K$10:$K42,$K42)&gt;1,"DUPLICATE","No"))</f>
        <v/>
      </c>
      <c r="J42" s="41" t="str">
        <f t="shared" si="0"/>
        <v/>
      </c>
      <c r="K42" s="42" t="str">
        <f t="shared" si="1"/>
        <v/>
      </c>
      <c r="L42" s="43" t="str">
        <f t="shared" si="2"/>
        <v/>
      </c>
      <c r="M42" s="44" t="str">
        <f t="shared" si="3"/>
        <v/>
      </c>
    </row>
    <row r="43" spans="2:13" ht="12.95" customHeight="1" x14ac:dyDescent="0.25">
      <c r="B43" s="39"/>
      <c r="C43" s="37"/>
      <c r="D43" s="28"/>
      <c r="E43" s="35"/>
      <c r="F43" s="38"/>
      <c r="G43" s="38"/>
      <c r="H43" s="40"/>
      <c r="I43" s="45" t="str">
        <f>IF($E43="","",IF(COUNTIF($K$10:$K43,$K43)&gt;1,"DUPLICATE","No"))</f>
        <v/>
      </c>
      <c r="J43" s="45" t="str">
        <f t="shared" si="0"/>
        <v/>
      </c>
      <c r="K43" s="46" t="str">
        <f t="shared" si="1"/>
        <v/>
      </c>
      <c r="L43" s="47" t="str">
        <f t="shared" si="2"/>
        <v/>
      </c>
      <c r="M43" s="48" t="str">
        <f t="shared" si="3"/>
        <v/>
      </c>
    </row>
    <row r="44" spans="2:13" ht="12.95" customHeight="1" x14ac:dyDescent="0.25">
      <c r="B44" s="39"/>
      <c r="C44" s="37"/>
      <c r="D44" s="28"/>
      <c r="E44" s="35"/>
      <c r="F44" s="38"/>
      <c r="G44" s="38"/>
      <c r="H44" s="40"/>
      <c r="I44" s="41" t="str">
        <f>IF($E44="","",IF(COUNTIF($K$10:$K44,$K44)&gt;1,"DUPLICATE","No"))</f>
        <v/>
      </c>
      <c r="J44" s="41" t="str">
        <f t="shared" si="0"/>
        <v/>
      </c>
      <c r="K44" s="42" t="str">
        <f t="shared" si="1"/>
        <v/>
      </c>
      <c r="L44" s="43" t="str">
        <f t="shared" si="2"/>
        <v/>
      </c>
      <c r="M44" s="44" t="str">
        <f t="shared" si="3"/>
        <v/>
      </c>
    </row>
    <row r="45" spans="2:13" ht="12.95" customHeight="1" x14ac:dyDescent="0.25">
      <c r="B45" s="39"/>
      <c r="C45" s="37"/>
      <c r="D45" s="28"/>
      <c r="E45" s="35"/>
      <c r="F45" s="38"/>
      <c r="G45" s="38"/>
      <c r="H45" s="40"/>
      <c r="I45" s="45" t="str">
        <f>IF($E45="","",IF(COUNTIF($K$10:$K45,$K45)&gt;1,"DUPLICATE","No"))</f>
        <v/>
      </c>
      <c r="J45" s="45" t="str">
        <f t="shared" si="0"/>
        <v/>
      </c>
      <c r="K45" s="46" t="str">
        <f t="shared" si="1"/>
        <v/>
      </c>
      <c r="L45" s="47" t="str">
        <f t="shared" si="2"/>
        <v/>
      </c>
      <c r="M45" s="48" t="str">
        <f t="shared" si="3"/>
        <v/>
      </c>
    </row>
    <row r="46" spans="2:13" ht="12.95" customHeight="1" x14ac:dyDescent="0.25">
      <c r="B46" s="39"/>
      <c r="C46" s="37"/>
      <c r="D46" s="28"/>
      <c r="E46" s="35"/>
      <c r="F46" s="38"/>
      <c r="G46" s="38"/>
      <c r="H46" s="40"/>
      <c r="I46" s="41" t="str">
        <f>IF($E46="","",IF(COUNTIF($K$10:$K46,$K46)&gt;1,"DUPLICATE","No"))</f>
        <v/>
      </c>
      <c r="J46" s="41" t="str">
        <f t="shared" si="0"/>
        <v/>
      </c>
      <c r="K46" s="42" t="str">
        <f t="shared" si="1"/>
        <v/>
      </c>
      <c r="L46" s="43" t="str">
        <f t="shared" si="2"/>
        <v/>
      </c>
      <c r="M46" s="44" t="str">
        <f t="shared" si="3"/>
        <v/>
      </c>
    </row>
    <row r="47" spans="2:13" ht="12.95" customHeight="1" x14ac:dyDescent="0.25">
      <c r="B47" s="39"/>
      <c r="C47" s="37"/>
      <c r="D47" s="28"/>
      <c r="E47" s="35"/>
      <c r="F47" s="38"/>
      <c r="G47" s="38"/>
      <c r="H47" s="40"/>
      <c r="I47" s="45" t="str">
        <f>IF($E47="","",IF(COUNTIF($K$10:$K47,$K47)&gt;1,"DUPLICATE","No"))</f>
        <v/>
      </c>
      <c r="J47" s="45" t="str">
        <f t="shared" si="0"/>
        <v/>
      </c>
      <c r="K47" s="46" t="str">
        <f t="shared" si="1"/>
        <v/>
      </c>
      <c r="L47" s="47" t="str">
        <f t="shared" si="2"/>
        <v/>
      </c>
      <c r="M47" s="48" t="str">
        <f t="shared" si="3"/>
        <v/>
      </c>
    </row>
    <row r="48" spans="2:13" ht="12.95" customHeight="1" x14ac:dyDescent="0.25">
      <c r="B48" s="39"/>
      <c r="C48" s="37"/>
      <c r="D48" s="28"/>
      <c r="E48" s="35"/>
      <c r="F48" s="38"/>
      <c r="G48" s="38"/>
      <c r="H48" s="40"/>
      <c r="I48" s="41" t="str">
        <f>IF($E48="","",IF(COUNTIF($K$10:$K48,$K48)&gt;1,"DUPLICATE","No"))</f>
        <v/>
      </c>
      <c r="J48" s="41" t="str">
        <f t="shared" si="0"/>
        <v/>
      </c>
      <c r="K48" s="42" t="str">
        <f t="shared" si="1"/>
        <v/>
      </c>
      <c r="L48" s="43" t="str">
        <f t="shared" si="2"/>
        <v/>
      </c>
      <c r="M48" s="44" t="str">
        <f t="shared" si="3"/>
        <v/>
      </c>
    </row>
    <row r="49" spans="2:13" ht="12.95" customHeight="1" x14ac:dyDescent="0.25">
      <c r="B49" s="39"/>
      <c r="C49" s="37"/>
      <c r="D49" s="28"/>
      <c r="E49" s="35"/>
      <c r="F49" s="38"/>
      <c r="G49" s="38"/>
      <c r="H49" s="40"/>
      <c r="I49" s="45" t="str">
        <f>IF($E49="","",IF(COUNTIF($K$10:$K49,$K49)&gt;1,"DUPLICATE","No"))</f>
        <v/>
      </c>
      <c r="J49" s="45" t="str">
        <f t="shared" si="0"/>
        <v/>
      </c>
      <c r="K49" s="46" t="str">
        <f t="shared" si="1"/>
        <v/>
      </c>
      <c r="L49" s="47" t="str">
        <f t="shared" si="2"/>
        <v/>
      </c>
      <c r="M49" s="48" t="str">
        <f t="shared" si="3"/>
        <v/>
      </c>
    </row>
    <row r="50" spans="2:13" ht="12.95" customHeight="1" x14ac:dyDescent="0.25">
      <c r="B50" s="39"/>
      <c r="C50" s="37"/>
      <c r="D50" s="28"/>
      <c r="E50" s="35"/>
      <c r="F50" s="38"/>
      <c r="G50" s="38"/>
      <c r="H50" s="40"/>
      <c r="I50" s="41" t="str">
        <f>IF($E50="","",IF(COUNTIF($K$10:$K50,$K50)&gt;1,"DUPLICATE","No"))</f>
        <v/>
      </c>
      <c r="J50" s="41" t="str">
        <f t="shared" si="0"/>
        <v/>
      </c>
      <c r="K50" s="42" t="str">
        <f t="shared" si="1"/>
        <v/>
      </c>
      <c r="L50" s="43" t="str">
        <f t="shared" si="2"/>
        <v/>
      </c>
      <c r="M50" s="44" t="str">
        <f t="shared" si="3"/>
        <v/>
      </c>
    </row>
    <row r="51" spans="2:13" ht="12.95" customHeight="1" x14ac:dyDescent="0.25">
      <c r="B51" s="39"/>
      <c r="C51" s="37"/>
      <c r="D51" s="28"/>
      <c r="E51" s="35"/>
      <c r="F51" s="38"/>
      <c r="G51" s="38"/>
      <c r="H51" s="40"/>
      <c r="I51" s="45" t="str">
        <f>IF($E51="","",IF(COUNTIF($K$10:$K51,$K51)&gt;1,"DUPLICATE","No"))</f>
        <v/>
      </c>
      <c r="J51" s="45" t="str">
        <f t="shared" si="0"/>
        <v/>
      </c>
      <c r="K51" s="46" t="str">
        <f t="shared" si="1"/>
        <v/>
      </c>
      <c r="L51" s="47" t="str">
        <f t="shared" si="2"/>
        <v/>
      </c>
      <c r="M51" s="48" t="str">
        <f t="shared" si="3"/>
        <v/>
      </c>
    </row>
    <row r="52" spans="2:13" ht="12.95" customHeight="1" x14ac:dyDescent="0.25">
      <c r="B52" s="39"/>
      <c r="C52" s="37"/>
      <c r="D52" s="28"/>
      <c r="E52" s="35"/>
      <c r="F52" s="38"/>
      <c r="G52" s="38"/>
      <c r="H52" s="40"/>
      <c r="I52" s="41" t="str">
        <f>IF($E52="","",IF(COUNTIF($K$10:$K52,$K52)&gt;1,"DUPLICATE","No"))</f>
        <v/>
      </c>
      <c r="J52" s="41" t="str">
        <f t="shared" si="0"/>
        <v/>
      </c>
      <c r="K52" s="42" t="str">
        <f t="shared" si="1"/>
        <v/>
      </c>
      <c r="L52" s="43" t="str">
        <f t="shared" si="2"/>
        <v/>
      </c>
      <c r="M52" s="44" t="str">
        <f t="shared" si="3"/>
        <v/>
      </c>
    </row>
    <row r="53" spans="2:13" ht="12.95" customHeight="1" x14ac:dyDescent="0.25">
      <c r="B53" s="39"/>
      <c r="C53" s="37"/>
      <c r="D53" s="28"/>
      <c r="E53" s="35"/>
      <c r="F53" s="38"/>
      <c r="G53" s="38"/>
      <c r="H53" s="40"/>
      <c r="I53" s="45" t="str">
        <f>IF($E53="","",IF(COUNTIF($K$10:$K53,$K53)&gt;1,"DUPLICATE","No"))</f>
        <v/>
      </c>
      <c r="J53" s="45" t="str">
        <f t="shared" si="0"/>
        <v/>
      </c>
      <c r="K53" s="46" t="str">
        <f t="shared" si="1"/>
        <v/>
      </c>
      <c r="L53" s="47" t="str">
        <f t="shared" si="2"/>
        <v/>
      </c>
      <c r="M53" s="48" t="str">
        <f t="shared" si="3"/>
        <v/>
      </c>
    </row>
    <row r="54" spans="2:13" ht="12.95" customHeight="1" x14ac:dyDescent="0.25">
      <c r="B54" s="39"/>
      <c r="C54" s="37"/>
      <c r="D54" s="28"/>
      <c r="E54" s="35"/>
      <c r="F54" s="38"/>
      <c r="G54" s="38"/>
      <c r="H54" s="40"/>
      <c r="I54" s="41" t="str">
        <f>IF($E54="","",IF(COUNTIF($K$10:$K54,$K54)&gt;1,"DUPLICATE","No"))</f>
        <v/>
      </c>
      <c r="J54" s="41" t="str">
        <f t="shared" si="0"/>
        <v/>
      </c>
      <c r="K54" s="42" t="str">
        <f t="shared" si="1"/>
        <v/>
      </c>
      <c r="L54" s="43" t="str">
        <f t="shared" si="2"/>
        <v/>
      </c>
      <c r="M54" s="44" t="str">
        <f t="shared" si="3"/>
        <v/>
      </c>
    </row>
    <row r="55" spans="2:13" ht="12.95" customHeight="1" x14ac:dyDescent="0.25">
      <c r="B55" s="39"/>
      <c r="C55" s="37"/>
      <c r="D55" s="28"/>
      <c r="E55" s="35"/>
      <c r="F55" s="38"/>
      <c r="G55" s="38"/>
      <c r="H55" s="40"/>
      <c r="I55" s="45" t="str">
        <f>IF($E55="","",IF(COUNTIF($K$10:$K55,$K55)&gt;1,"DUPLICATE","No"))</f>
        <v/>
      </c>
      <c r="J55" s="45" t="str">
        <f t="shared" si="0"/>
        <v/>
      </c>
      <c r="K55" s="46" t="str">
        <f t="shared" si="1"/>
        <v/>
      </c>
      <c r="L55" s="47" t="str">
        <f t="shared" si="2"/>
        <v/>
      </c>
      <c r="M55" s="48" t="str">
        <f t="shared" si="3"/>
        <v/>
      </c>
    </row>
    <row r="56" spans="2:13" ht="12.95" customHeight="1" x14ac:dyDescent="0.25">
      <c r="B56" s="39"/>
      <c r="C56" s="37"/>
      <c r="D56" s="28"/>
      <c r="E56" s="35"/>
      <c r="F56" s="38"/>
      <c r="G56" s="38"/>
      <c r="H56" s="40"/>
      <c r="I56" s="41" t="str">
        <f>IF($E56="","",IF(COUNTIF($K$10:$K56,$K56)&gt;1,"DUPLICATE","No"))</f>
        <v/>
      </c>
      <c r="J56" s="41" t="str">
        <f t="shared" si="0"/>
        <v/>
      </c>
      <c r="K56" s="42" t="str">
        <f t="shared" si="1"/>
        <v/>
      </c>
      <c r="L56" s="43" t="str">
        <f t="shared" si="2"/>
        <v/>
      </c>
      <c r="M56" s="44" t="str">
        <f t="shared" si="3"/>
        <v/>
      </c>
    </row>
    <row r="57" spans="2:13" ht="12.95" customHeight="1" x14ac:dyDescent="0.25">
      <c r="B57" s="39"/>
      <c r="C57" s="37"/>
      <c r="D57" s="28"/>
      <c r="E57" s="35"/>
      <c r="F57" s="38"/>
      <c r="G57" s="38"/>
      <c r="H57" s="40"/>
      <c r="I57" s="45" t="str">
        <f>IF($E57="","",IF(COUNTIF($K$10:$K57,$K57)&gt;1,"DUPLICATE","No"))</f>
        <v/>
      </c>
      <c r="J57" s="45" t="str">
        <f t="shared" si="0"/>
        <v/>
      </c>
      <c r="K57" s="46" t="str">
        <f t="shared" si="1"/>
        <v/>
      </c>
      <c r="L57" s="47" t="str">
        <f t="shared" si="2"/>
        <v/>
      </c>
      <c r="M57" s="48" t="str">
        <f t="shared" si="3"/>
        <v/>
      </c>
    </row>
    <row r="58" spans="2:13" ht="12.95" customHeight="1" x14ac:dyDescent="0.25">
      <c r="B58" s="39"/>
      <c r="C58" s="37"/>
      <c r="D58" s="28"/>
      <c r="E58" s="35"/>
      <c r="F58" s="38"/>
      <c r="G58" s="38"/>
      <c r="H58" s="40"/>
      <c r="I58" s="41" t="str">
        <f>IF($E58="","",IF(COUNTIF($K$10:$K58,$K58)&gt;1,"DUPLICATE","No"))</f>
        <v/>
      </c>
      <c r="J58" s="41" t="str">
        <f t="shared" si="0"/>
        <v/>
      </c>
      <c r="K58" s="42" t="str">
        <f t="shared" si="1"/>
        <v/>
      </c>
      <c r="L58" s="43" t="str">
        <f t="shared" si="2"/>
        <v/>
      </c>
      <c r="M58" s="44" t="str">
        <f t="shared" si="3"/>
        <v/>
      </c>
    </row>
    <row r="59" spans="2:13" ht="12.95" customHeight="1" x14ac:dyDescent="0.25">
      <c r="B59" s="39"/>
      <c r="C59" s="37"/>
      <c r="D59" s="28"/>
      <c r="E59" s="35"/>
      <c r="F59" s="38"/>
      <c r="G59" s="38"/>
      <c r="H59" s="40"/>
      <c r="I59" s="45" t="str">
        <f>IF($E59="","",IF(COUNTIF($K$10:$K59,$K59)&gt;1,"DUPLICATE","No"))</f>
        <v/>
      </c>
      <c r="J59" s="45" t="str">
        <f t="shared" si="0"/>
        <v/>
      </c>
      <c r="K59" s="46" t="str">
        <f t="shared" si="1"/>
        <v/>
      </c>
      <c r="L59" s="47" t="str">
        <f t="shared" si="2"/>
        <v/>
      </c>
      <c r="M59" s="48" t="str">
        <f t="shared" si="3"/>
        <v/>
      </c>
    </row>
    <row r="60" spans="2:13" ht="12.95" customHeight="1" x14ac:dyDescent="0.25">
      <c r="B60" s="39"/>
      <c r="C60" s="37"/>
      <c r="D60" s="28"/>
      <c r="E60" s="35"/>
      <c r="F60" s="38"/>
      <c r="G60" s="38"/>
      <c r="H60" s="40"/>
      <c r="I60" s="41" t="str">
        <f>IF($E60="","",IF(COUNTIF($K$10:$K60,$K60)&gt;1,"DUPLICATE","No"))</f>
        <v/>
      </c>
      <c r="J60" s="41" t="str">
        <f t="shared" si="0"/>
        <v/>
      </c>
      <c r="K60" s="42" t="str">
        <f t="shared" si="1"/>
        <v/>
      </c>
      <c r="L60" s="43" t="str">
        <f t="shared" si="2"/>
        <v/>
      </c>
      <c r="M60" s="44" t="str">
        <f t="shared" si="3"/>
        <v/>
      </c>
    </row>
    <row r="61" spans="2:13" ht="12.95" customHeight="1" x14ac:dyDescent="0.25">
      <c r="B61" s="39"/>
      <c r="C61" s="37"/>
      <c r="D61" s="28"/>
      <c r="E61" s="35"/>
      <c r="F61" s="38"/>
      <c r="G61" s="38"/>
      <c r="H61" s="40"/>
      <c r="I61" s="45" t="str">
        <f>IF($E61="","",IF(COUNTIF($K$10:$K61,$K61)&gt;1,"DUPLICATE","No"))</f>
        <v/>
      </c>
      <c r="J61" s="45" t="str">
        <f t="shared" si="0"/>
        <v/>
      </c>
      <c r="K61" s="46" t="str">
        <f t="shared" si="1"/>
        <v/>
      </c>
      <c r="L61" s="47" t="str">
        <f t="shared" si="2"/>
        <v/>
      </c>
      <c r="M61" s="48" t="str">
        <f t="shared" si="3"/>
        <v/>
      </c>
    </row>
    <row r="62" spans="2:13" ht="12.95" customHeight="1" x14ac:dyDescent="0.25">
      <c r="B62" s="39"/>
      <c r="C62" s="37"/>
      <c r="D62" s="28"/>
      <c r="E62" s="35"/>
      <c r="F62" s="38"/>
      <c r="G62" s="38"/>
      <c r="H62" s="40"/>
      <c r="I62" s="41" t="str">
        <f>IF($E62="","",IF(COUNTIF($K$10:$K62,$K62)&gt;1,"DUPLICATE","No"))</f>
        <v/>
      </c>
      <c r="J62" s="41" t="str">
        <f t="shared" si="0"/>
        <v/>
      </c>
      <c r="K62" s="42" t="str">
        <f t="shared" si="1"/>
        <v/>
      </c>
      <c r="L62" s="43" t="str">
        <f t="shared" si="2"/>
        <v/>
      </c>
      <c r="M62" s="44" t="str">
        <f t="shared" si="3"/>
        <v/>
      </c>
    </row>
    <row r="63" spans="2:13" ht="12.95" customHeight="1" x14ac:dyDescent="0.25">
      <c r="B63" s="39"/>
      <c r="C63" s="37"/>
      <c r="D63" s="28"/>
      <c r="E63" s="35"/>
      <c r="F63" s="38"/>
      <c r="G63" s="38"/>
      <c r="H63" s="40"/>
      <c r="I63" s="45" t="str">
        <f>IF($E63="","",IF(COUNTIF($K$10:$K63,$K63)&gt;1,"DUPLICATE","No"))</f>
        <v/>
      </c>
      <c r="J63" s="45" t="str">
        <f t="shared" si="0"/>
        <v/>
      </c>
      <c r="K63" s="46" t="str">
        <f t="shared" si="1"/>
        <v/>
      </c>
      <c r="L63" s="47" t="str">
        <f t="shared" si="2"/>
        <v/>
      </c>
      <c r="M63" s="48" t="str">
        <f t="shared" si="3"/>
        <v/>
      </c>
    </row>
    <row r="64" spans="2:13" ht="12.95" customHeight="1" x14ac:dyDescent="0.25">
      <c r="B64" s="39"/>
      <c r="C64" s="37"/>
      <c r="D64" s="28"/>
      <c r="E64" s="35"/>
      <c r="F64" s="38"/>
      <c r="G64" s="38"/>
      <c r="H64" s="40"/>
      <c r="I64" s="41" t="str">
        <f>IF($E64="","",IF(COUNTIF($K$10:$K64,$K64)&gt;1,"DUPLICATE","No"))</f>
        <v/>
      </c>
      <c r="J64" s="41" t="str">
        <f t="shared" si="0"/>
        <v/>
      </c>
      <c r="K64" s="42" t="str">
        <f t="shared" si="1"/>
        <v/>
      </c>
      <c r="L64" s="43" t="str">
        <f t="shared" si="2"/>
        <v/>
      </c>
      <c r="M64" s="44" t="str">
        <f t="shared" si="3"/>
        <v/>
      </c>
    </row>
    <row r="65" spans="2:13" ht="12.95" customHeight="1" x14ac:dyDescent="0.25">
      <c r="B65" s="39"/>
      <c r="C65" s="37"/>
      <c r="D65" s="28"/>
      <c r="E65" s="35"/>
      <c r="F65" s="38"/>
      <c r="G65" s="38"/>
      <c r="H65" s="40"/>
      <c r="I65" s="45" t="str">
        <f>IF($E65="","",IF(COUNTIF($K$10:$K65,$K65)&gt;1,"DUPLICATE","No"))</f>
        <v/>
      </c>
      <c r="J65" s="45" t="str">
        <f t="shared" si="0"/>
        <v/>
      </c>
      <c r="K65" s="46" t="str">
        <f t="shared" si="1"/>
        <v/>
      </c>
      <c r="L65" s="47" t="str">
        <f t="shared" si="2"/>
        <v/>
      </c>
      <c r="M65" s="48" t="str">
        <f t="shared" si="3"/>
        <v/>
      </c>
    </row>
    <row r="66" spans="2:13" ht="12.95" customHeight="1" x14ac:dyDescent="0.25">
      <c r="B66" s="39"/>
      <c r="C66" s="37"/>
      <c r="D66" s="28"/>
      <c r="E66" s="35"/>
      <c r="F66" s="38"/>
      <c r="G66" s="38"/>
      <c r="H66" s="40"/>
      <c r="I66" s="41" t="str">
        <f>IF($E66="","",IF(COUNTIF($K$10:$K66,$K66)&gt;1,"DUPLICATE","No"))</f>
        <v/>
      </c>
      <c r="J66" s="41" t="str">
        <f t="shared" si="0"/>
        <v/>
      </c>
      <c r="K66" s="42" t="str">
        <f t="shared" si="1"/>
        <v/>
      </c>
      <c r="L66" s="43" t="str">
        <f t="shared" si="2"/>
        <v/>
      </c>
      <c r="M66" s="44" t="str">
        <f t="shared" si="3"/>
        <v/>
      </c>
    </row>
    <row r="67" spans="2:13" ht="12.95" customHeight="1" x14ac:dyDescent="0.25">
      <c r="B67" s="39"/>
      <c r="C67" s="37"/>
      <c r="D67" s="28"/>
      <c r="E67" s="35"/>
      <c r="F67" s="38"/>
      <c r="G67" s="38"/>
      <c r="H67" s="40"/>
      <c r="I67" s="45" t="str">
        <f>IF($E67="","",IF(COUNTIF($K$10:$K67,$K67)&gt;1,"DUPLICATE","No"))</f>
        <v/>
      </c>
      <c r="J67" s="45" t="str">
        <f t="shared" si="0"/>
        <v/>
      </c>
      <c r="K67" s="46" t="str">
        <f t="shared" si="1"/>
        <v/>
      </c>
      <c r="L67" s="47" t="str">
        <f t="shared" si="2"/>
        <v/>
      </c>
      <c r="M67" s="48" t="str">
        <f t="shared" si="3"/>
        <v/>
      </c>
    </row>
    <row r="68" spans="2:13" ht="12.95" customHeight="1" x14ac:dyDescent="0.25">
      <c r="B68" s="39"/>
      <c r="C68" s="37"/>
      <c r="D68" s="28"/>
      <c r="E68" s="35"/>
      <c r="F68" s="38"/>
      <c r="G68" s="38"/>
      <c r="H68" s="40"/>
      <c r="I68" s="41" t="str">
        <f>IF($E68="","",IF(COUNTIF($K$10:$K68,$K68)&gt;1,"DUPLICATE","No"))</f>
        <v/>
      </c>
      <c r="J68" s="41" t="str">
        <f t="shared" si="0"/>
        <v/>
      </c>
      <c r="K68" s="42" t="str">
        <f t="shared" si="1"/>
        <v/>
      </c>
      <c r="L68" s="43" t="str">
        <f t="shared" si="2"/>
        <v/>
      </c>
      <c r="M68" s="44" t="str">
        <f t="shared" si="3"/>
        <v/>
      </c>
    </row>
    <row r="69" spans="2:13" ht="12.95" customHeight="1" x14ac:dyDescent="0.25">
      <c r="B69" s="39"/>
      <c r="C69" s="37"/>
      <c r="D69" s="28"/>
      <c r="E69" s="35"/>
      <c r="F69" s="38"/>
      <c r="G69" s="38"/>
      <c r="H69" s="40"/>
      <c r="I69" s="45" t="str">
        <f>IF($E69="","",IF(COUNTIF($K$10:$K69,$K69)&gt;1,"DUPLICATE","No"))</f>
        <v/>
      </c>
      <c r="J69" s="45" t="str">
        <f t="shared" si="0"/>
        <v/>
      </c>
      <c r="K69" s="46" t="str">
        <f t="shared" si="1"/>
        <v/>
      </c>
      <c r="L69" s="47" t="str">
        <f t="shared" si="2"/>
        <v/>
      </c>
      <c r="M69" s="48" t="str">
        <f t="shared" si="3"/>
        <v/>
      </c>
    </row>
    <row r="70" spans="2:13" ht="12.95" customHeight="1" x14ac:dyDescent="0.25">
      <c r="B70" s="39"/>
      <c r="C70" s="37"/>
      <c r="D70" s="28"/>
      <c r="E70" s="35"/>
      <c r="F70" s="38"/>
      <c r="G70" s="38"/>
      <c r="H70" s="40"/>
      <c r="I70" s="41" t="str">
        <f>IF($E70="","",IF(COUNTIF($K$10:$K70,$K70)&gt;1,"DUPLICATE","No"))</f>
        <v/>
      </c>
      <c r="J70" s="41" t="str">
        <f t="shared" si="0"/>
        <v/>
      </c>
      <c r="K70" s="42" t="str">
        <f t="shared" si="1"/>
        <v/>
      </c>
      <c r="L70" s="43" t="str">
        <f t="shared" si="2"/>
        <v/>
      </c>
      <c r="M70" s="44" t="str">
        <f t="shared" si="3"/>
        <v/>
      </c>
    </row>
    <row r="71" spans="2:13" ht="12.95" customHeight="1" x14ac:dyDescent="0.25">
      <c r="B71" s="39"/>
      <c r="C71" s="37"/>
      <c r="D71" s="28"/>
      <c r="E71" s="35"/>
      <c r="F71" s="38"/>
      <c r="G71" s="38"/>
      <c r="H71" s="40"/>
      <c r="I71" s="45" t="str">
        <f>IF($E71="","",IF(COUNTIF($K$10:$K71,$K71)&gt;1,"DUPLICATE","No"))</f>
        <v/>
      </c>
      <c r="J71" s="45" t="str">
        <f t="shared" si="0"/>
        <v/>
      </c>
      <c r="K71" s="46" t="str">
        <f t="shared" si="1"/>
        <v/>
      </c>
      <c r="L71" s="47" t="str">
        <f t="shared" si="2"/>
        <v/>
      </c>
      <c r="M71" s="48" t="str">
        <f t="shared" si="3"/>
        <v/>
      </c>
    </row>
    <row r="72" spans="2:13" ht="12.95" customHeight="1" x14ac:dyDescent="0.25">
      <c r="B72" s="39"/>
      <c r="C72" s="37"/>
      <c r="D72" s="28"/>
      <c r="E72" s="35"/>
      <c r="F72" s="38"/>
      <c r="G72" s="38"/>
      <c r="H72" s="40"/>
      <c r="I72" s="41" t="str">
        <f>IF($E72="","",IF(COUNTIF($K$10:$K72,$K72)&gt;1,"DUPLICATE","No"))</f>
        <v/>
      </c>
      <c r="J72" s="41" t="str">
        <f t="shared" si="0"/>
        <v/>
      </c>
      <c r="K72" s="42" t="str">
        <f t="shared" si="1"/>
        <v/>
      </c>
      <c r="L72" s="43" t="str">
        <f t="shared" si="2"/>
        <v/>
      </c>
      <c r="M72" s="44" t="str">
        <f t="shared" si="3"/>
        <v/>
      </c>
    </row>
    <row r="73" spans="2:13" ht="12.95" customHeight="1" x14ac:dyDescent="0.25">
      <c r="B73" s="39"/>
      <c r="C73" s="37"/>
      <c r="D73" s="28"/>
      <c r="E73" s="35"/>
      <c r="F73" s="38"/>
      <c r="G73" s="38"/>
      <c r="H73" s="40"/>
      <c r="I73" s="45" t="str">
        <f>IF($E73="","",IF(COUNTIF($K$10:$K73,$K73)&gt;1,"DUPLICATE","No"))</f>
        <v/>
      </c>
      <c r="J73" s="45" t="str">
        <f t="shared" si="0"/>
        <v/>
      </c>
      <c r="K73" s="46" t="str">
        <f t="shared" si="1"/>
        <v/>
      </c>
      <c r="L73" s="47" t="str">
        <f t="shared" si="2"/>
        <v/>
      </c>
      <c r="M73" s="48" t="str">
        <f t="shared" si="3"/>
        <v/>
      </c>
    </row>
    <row r="74" spans="2:13" ht="12.95" customHeight="1" x14ac:dyDescent="0.25">
      <c r="B74" s="39"/>
      <c r="C74" s="37"/>
      <c r="D74" s="28"/>
      <c r="E74" s="35"/>
      <c r="F74" s="38"/>
      <c r="G74" s="38"/>
      <c r="H74" s="40"/>
      <c r="I74" s="41" t="str">
        <f>IF($E74="","",IF(COUNTIF($K$10:$K74,$K74)&gt;1,"DUPLICATE","No"))</f>
        <v/>
      </c>
      <c r="J74" s="41" t="str">
        <f t="shared" ref="J74:J137" si="4">IF($E74="","",IF(SUMPRODUCT(--(Txn_Acct=$D74),--(Txn_Date=$C74),--(Txn_Desc=$E74),--(ROUND(Txn_In+0,2)=ROUND(N($F74),2)),--(ROUND(Txn_Out+0,2)=ROUND(N($G74),2)))&gt;0,"ALREADY IN LEDGER","No"))</f>
        <v/>
      </c>
      <c r="K74" s="42" t="str">
        <f t="shared" ref="K74:K137" si="5">IF($E74="","",UPPER(TRIM($D74))&amp;"|"&amp;TEXT($C74,"yyyy-mm-dd")&amp;"|"&amp;UPPER(TRIM($E74))&amp;"|"&amp;TEXT(ROUND(N($F74),2),"0.00")&amp;"|"&amp;TEXT(ROUND(N($G74),2),"0.00"))</f>
        <v/>
      </c>
      <c r="L74" s="43" t="str">
        <f t="shared" ref="L74:L137" si="6">IF($E74="","",TRIM(IF($D74="","Missing account. ",IF(COUNTIF(Acct_Name,$D74)=0,"Unknown account. ",""))&amp;IF($C74="","Missing date. ",IF(NOT(ISNUMBER($C74)),"Invalid date. ",IF(AND(N($F$7)&gt;0,N($H$7)&gt;0,OR($C74&lt;$F$7,$C74&gt;$H$7)),"Outside statement period. ","")))&amp;IF(AND(N($F74)&gt;0,N($G74)&gt;0),"Both Money In and Money Out populated. ","")&amp;IF(AND(N($F74)=0,N($G74)=0),"No amount. ","")&amp;IF(OR(N($F74)&lt;0,N($G74)&lt;0),"Negative amount. ","")&amp;IF($B74="","Batch ID missing on this row - fill it down from B7. ","")&amp;IF(OR($B$7="",$D$7=""),"Batch header incomplete - fill in B7 and D7. ","")&amp;IF(OR(N($F$7)=0,N($H$7)=0),"Statement period missing on the header - the date check is OFF. ","")&amp;IF(AND(N($J$7)=0,N($L$7)=0),"Statement totals missing on the header - the tie-out is OFF. ","")))</f>
        <v/>
      </c>
      <c r="M74" s="44" t="str">
        <f t="shared" ref="M74:M137" si="7">IF($E74="","",IF(AND($L74="",$I74="No",$J74="ALREADY IN LEDGER"),"POSTED",IF(AND($L74="",$I74="No",$J74="No"),"Yes","NO")))</f>
        <v/>
      </c>
    </row>
    <row r="75" spans="2:13" ht="12.95" customHeight="1" x14ac:dyDescent="0.25">
      <c r="B75" s="39"/>
      <c r="C75" s="37"/>
      <c r="D75" s="28"/>
      <c r="E75" s="35"/>
      <c r="F75" s="38"/>
      <c r="G75" s="38"/>
      <c r="H75" s="40"/>
      <c r="I75" s="45" t="str">
        <f>IF($E75="","",IF(COUNTIF($K$10:$K75,$K75)&gt;1,"DUPLICATE","No"))</f>
        <v/>
      </c>
      <c r="J75" s="45" t="str">
        <f t="shared" si="4"/>
        <v/>
      </c>
      <c r="K75" s="46" t="str">
        <f t="shared" si="5"/>
        <v/>
      </c>
      <c r="L75" s="47" t="str">
        <f t="shared" si="6"/>
        <v/>
      </c>
      <c r="M75" s="48" t="str">
        <f t="shared" si="7"/>
        <v/>
      </c>
    </row>
    <row r="76" spans="2:13" ht="12.95" customHeight="1" x14ac:dyDescent="0.25">
      <c r="B76" s="39"/>
      <c r="C76" s="37"/>
      <c r="D76" s="28"/>
      <c r="E76" s="35"/>
      <c r="F76" s="38"/>
      <c r="G76" s="38"/>
      <c r="H76" s="40"/>
      <c r="I76" s="41" t="str">
        <f>IF($E76="","",IF(COUNTIF($K$10:$K76,$K76)&gt;1,"DUPLICATE","No"))</f>
        <v/>
      </c>
      <c r="J76" s="41" t="str">
        <f t="shared" si="4"/>
        <v/>
      </c>
      <c r="K76" s="42" t="str">
        <f t="shared" si="5"/>
        <v/>
      </c>
      <c r="L76" s="43" t="str">
        <f t="shared" si="6"/>
        <v/>
      </c>
      <c r="M76" s="44" t="str">
        <f t="shared" si="7"/>
        <v/>
      </c>
    </row>
    <row r="77" spans="2:13" ht="12.95" customHeight="1" x14ac:dyDescent="0.25">
      <c r="B77" s="39"/>
      <c r="C77" s="37"/>
      <c r="D77" s="28"/>
      <c r="E77" s="35"/>
      <c r="F77" s="38"/>
      <c r="G77" s="38"/>
      <c r="H77" s="40"/>
      <c r="I77" s="45" t="str">
        <f>IF($E77="","",IF(COUNTIF($K$10:$K77,$K77)&gt;1,"DUPLICATE","No"))</f>
        <v/>
      </c>
      <c r="J77" s="45" t="str">
        <f t="shared" si="4"/>
        <v/>
      </c>
      <c r="K77" s="46" t="str">
        <f t="shared" si="5"/>
        <v/>
      </c>
      <c r="L77" s="47" t="str">
        <f t="shared" si="6"/>
        <v/>
      </c>
      <c r="M77" s="48" t="str">
        <f t="shared" si="7"/>
        <v/>
      </c>
    </row>
    <row r="78" spans="2:13" ht="12.95" customHeight="1" x14ac:dyDescent="0.25">
      <c r="B78" s="39"/>
      <c r="C78" s="37"/>
      <c r="D78" s="28"/>
      <c r="E78" s="35"/>
      <c r="F78" s="38"/>
      <c r="G78" s="38"/>
      <c r="H78" s="40"/>
      <c r="I78" s="41" t="str">
        <f>IF($E78="","",IF(COUNTIF($K$10:$K78,$K78)&gt;1,"DUPLICATE","No"))</f>
        <v/>
      </c>
      <c r="J78" s="41" t="str">
        <f t="shared" si="4"/>
        <v/>
      </c>
      <c r="K78" s="42" t="str">
        <f t="shared" si="5"/>
        <v/>
      </c>
      <c r="L78" s="43" t="str">
        <f t="shared" si="6"/>
        <v/>
      </c>
      <c r="M78" s="44" t="str">
        <f t="shared" si="7"/>
        <v/>
      </c>
    </row>
    <row r="79" spans="2:13" ht="12.95" customHeight="1" x14ac:dyDescent="0.25">
      <c r="B79" s="39"/>
      <c r="C79" s="37"/>
      <c r="D79" s="28"/>
      <c r="E79" s="35"/>
      <c r="F79" s="38"/>
      <c r="G79" s="38"/>
      <c r="H79" s="40"/>
      <c r="I79" s="45" t="str">
        <f>IF($E79="","",IF(COUNTIF($K$10:$K79,$K79)&gt;1,"DUPLICATE","No"))</f>
        <v/>
      </c>
      <c r="J79" s="45" t="str">
        <f t="shared" si="4"/>
        <v/>
      </c>
      <c r="K79" s="46" t="str">
        <f t="shared" si="5"/>
        <v/>
      </c>
      <c r="L79" s="47" t="str">
        <f t="shared" si="6"/>
        <v/>
      </c>
      <c r="M79" s="48" t="str">
        <f t="shared" si="7"/>
        <v/>
      </c>
    </row>
    <row r="80" spans="2:13" ht="12.95" customHeight="1" x14ac:dyDescent="0.25">
      <c r="B80" s="39"/>
      <c r="C80" s="37"/>
      <c r="D80" s="28"/>
      <c r="E80" s="35"/>
      <c r="F80" s="38"/>
      <c r="G80" s="38"/>
      <c r="H80" s="40"/>
      <c r="I80" s="41" t="str">
        <f>IF($E80="","",IF(COUNTIF($K$10:$K80,$K80)&gt;1,"DUPLICATE","No"))</f>
        <v/>
      </c>
      <c r="J80" s="41" t="str">
        <f t="shared" si="4"/>
        <v/>
      </c>
      <c r="K80" s="42" t="str">
        <f t="shared" si="5"/>
        <v/>
      </c>
      <c r="L80" s="43" t="str">
        <f t="shared" si="6"/>
        <v/>
      </c>
      <c r="M80" s="44" t="str">
        <f t="shared" si="7"/>
        <v/>
      </c>
    </row>
    <row r="81" spans="2:13" ht="12.95" customHeight="1" x14ac:dyDescent="0.25">
      <c r="B81" s="39"/>
      <c r="C81" s="37"/>
      <c r="D81" s="28"/>
      <c r="E81" s="35"/>
      <c r="F81" s="38"/>
      <c r="G81" s="38"/>
      <c r="H81" s="40"/>
      <c r="I81" s="45" t="str">
        <f>IF($E81="","",IF(COUNTIF($K$10:$K81,$K81)&gt;1,"DUPLICATE","No"))</f>
        <v/>
      </c>
      <c r="J81" s="45" t="str">
        <f t="shared" si="4"/>
        <v/>
      </c>
      <c r="K81" s="46" t="str">
        <f t="shared" si="5"/>
        <v/>
      </c>
      <c r="L81" s="47" t="str">
        <f t="shared" si="6"/>
        <v/>
      </c>
      <c r="M81" s="48" t="str">
        <f t="shared" si="7"/>
        <v/>
      </c>
    </row>
    <row r="82" spans="2:13" ht="12.95" customHeight="1" x14ac:dyDescent="0.25">
      <c r="B82" s="39"/>
      <c r="C82" s="37"/>
      <c r="D82" s="28"/>
      <c r="E82" s="35"/>
      <c r="F82" s="38"/>
      <c r="G82" s="38"/>
      <c r="H82" s="40"/>
      <c r="I82" s="41" t="str">
        <f>IF($E82="","",IF(COUNTIF($K$10:$K82,$K82)&gt;1,"DUPLICATE","No"))</f>
        <v/>
      </c>
      <c r="J82" s="41" t="str">
        <f t="shared" si="4"/>
        <v/>
      </c>
      <c r="K82" s="42" t="str">
        <f t="shared" si="5"/>
        <v/>
      </c>
      <c r="L82" s="43" t="str">
        <f t="shared" si="6"/>
        <v/>
      </c>
      <c r="M82" s="44" t="str">
        <f t="shared" si="7"/>
        <v/>
      </c>
    </row>
    <row r="83" spans="2:13" ht="12.95" customHeight="1" x14ac:dyDescent="0.25">
      <c r="B83" s="39"/>
      <c r="C83" s="37"/>
      <c r="D83" s="28"/>
      <c r="E83" s="35"/>
      <c r="F83" s="38"/>
      <c r="G83" s="38"/>
      <c r="H83" s="40"/>
      <c r="I83" s="45" t="str">
        <f>IF($E83="","",IF(COUNTIF($K$10:$K83,$K83)&gt;1,"DUPLICATE","No"))</f>
        <v/>
      </c>
      <c r="J83" s="45" t="str">
        <f t="shared" si="4"/>
        <v/>
      </c>
      <c r="K83" s="46" t="str">
        <f t="shared" si="5"/>
        <v/>
      </c>
      <c r="L83" s="47" t="str">
        <f t="shared" si="6"/>
        <v/>
      </c>
      <c r="M83" s="48" t="str">
        <f t="shared" si="7"/>
        <v/>
      </c>
    </row>
    <row r="84" spans="2:13" ht="12.95" customHeight="1" x14ac:dyDescent="0.25">
      <c r="B84" s="39"/>
      <c r="C84" s="37"/>
      <c r="D84" s="28"/>
      <c r="E84" s="35"/>
      <c r="F84" s="38"/>
      <c r="G84" s="38"/>
      <c r="H84" s="40"/>
      <c r="I84" s="41" t="str">
        <f>IF($E84="","",IF(COUNTIF($K$10:$K84,$K84)&gt;1,"DUPLICATE","No"))</f>
        <v/>
      </c>
      <c r="J84" s="41" t="str">
        <f t="shared" si="4"/>
        <v/>
      </c>
      <c r="K84" s="42" t="str">
        <f t="shared" si="5"/>
        <v/>
      </c>
      <c r="L84" s="43" t="str">
        <f t="shared" si="6"/>
        <v/>
      </c>
      <c r="M84" s="44" t="str">
        <f t="shared" si="7"/>
        <v/>
      </c>
    </row>
    <row r="85" spans="2:13" ht="12.95" customHeight="1" x14ac:dyDescent="0.25">
      <c r="B85" s="39"/>
      <c r="C85" s="37"/>
      <c r="D85" s="28"/>
      <c r="E85" s="35"/>
      <c r="F85" s="38"/>
      <c r="G85" s="38"/>
      <c r="H85" s="40"/>
      <c r="I85" s="45" t="str">
        <f>IF($E85="","",IF(COUNTIF($K$10:$K85,$K85)&gt;1,"DUPLICATE","No"))</f>
        <v/>
      </c>
      <c r="J85" s="45" t="str">
        <f t="shared" si="4"/>
        <v/>
      </c>
      <c r="K85" s="46" t="str">
        <f t="shared" si="5"/>
        <v/>
      </c>
      <c r="L85" s="47" t="str">
        <f t="shared" si="6"/>
        <v/>
      </c>
      <c r="M85" s="48" t="str">
        <f t="shared" si="7"/>
        <v/>
      </c>
    </row>
    <row r="86" spans="2:13" ht="12.95" customHeight="1" x14ac:dyDescent="0.25">
      <c r="B86" s="39"/>
      <c r="C86" s="37"/>
      <c r="D86" s="28"/>
      <c r="E86" s="35"/>
      <c r="F86" s="38"/>
      <c r="G86" s="38"/>
      <c r="H86" s="40"/>
      <c r="I86" s="41" t="str">
        <f>IF($E86="","",IF(COUNTIF($K$10:$K86,$K86)&gt;1,"DUPLICATE","No"))</f>
        <v/>
      </c>
      <c r="J86" s="41" t="str">
        <f t="shared" si="4"/>
        <v/>
      </c>
      <c r="K86" s="42" t="str">
        <f t="shared" si="5"/>
        <v/>
      </c>
      <c r="L86" s="43" t="str">
        <f t="shared" si="6"/>
        <v/>
      </c>
      <c r="M86" s="44" t="str">
        <f t="shared" si="7"/>
        <v/>
      </c>
    </row>
    <row r="87" spans="2:13" ht="12.95" customHeight="1" x14ac:dyDescent="0.25">
      <c r="B87" s="39"/>
      <c r="C87" s="37"/>
      <c r="D87" s="28"/>
      <c r="E87" s="35"/>
      <c r="F87" s="38"/>
      <c r="G87" s="38"/>
      <c r="H87" s="40"/>
      <c r="I87" s="45" t="str">
        <f>IF($E87="","",IF(COUNTIF($K$10:$K87,$K87)&gt;1,"DUPLICATE","No"))</f>
        <v/>
      </c>
      <c r="J87" s="45" t="str">
        <f t="shared" si="4"/>
        <v/>
      </c>
      <c r="K87" s="46" t="str">
        <f t="shared" si="5"/>
        <v/>
      </c>
      <c r="L87" s="47" t="str">
        <f t="shared" si="6"/>
        <v/>
      </c>
      <c r="M87" s="48" t="str">
        <f t="shared" si="7"/>
        <v/>
      </c>
    </row>
    <row r="88" spans="2:13" ht="12.95" customHeight="1" x14ac:dyDescent="0.25">
      <c r="B88" s="39"/>
      <c r="C88" s="37"/>
      <c r="D88" s="28"/>
      <c r="E88" s="35"/>
      <c r="F88" s="38"/>
      <c r="G88" s="38"/>
      <c r="H88" s="40"/>
      <c r="I88" s="41" t="str">
        <f>IF($E88="","",IF(COUNTIF($K$10:$K88,$K88)&gt;1,"DUPLICATE","No"))</f>
        <v/>
      </c>
      <c r="J88" s="41" t="str">
        <f t="shared" si="4"/>
        <v/>
      </c>
      <c r="K88" s="42" t="str">
        <f t="shared" si="5"/>
        <v/>
      </c>
      <c r="L88" s="43" t="str">
        <f t="shared" si="6"/>
        <v/>
      </c>
      <c r="M88" s="44" t="str">
        <f t="shared" si="7"/>
        <v/>
      </c>
    </row>
    <row r="89" spans="2:13" ht="12.95" customHeight="1" x14ac:dyDescent="0.25">
      <c r="B89" s="39"/>
      <c r="C89" s="37"/>
      <c r="D89" s="28"/>
      <c r="E89" s="35"/>
      <c r="F89" s="38"/>
      <c r="G89" s="38"/>
      <c r="H89" s="40"/>
      <c r="I89" s="45" t="str">
        <f>IF($E89="","",IF(COUNTIF($K$10:$K89,$K89)&gt;1,"DUPLICATE","No"))</f>
        <v/>
      </c>
      <c r="J89" s="45" t="str">
        <f t="shared" si="4"/>
        <v/>
      </c>
      <c r="K89" s="46" t="str">
        <f t="shared" si="5"/>
        <v/>
      </c>
      <c r="L89" s="47" t="str">
        <f t="shared" si="6"/>
        <v/>
      </c>
      <c r="M89" s="48" t="str">
        <f t="shared" si="7"/>
        <v/>
      </c>
    </row>
    <row r="90" spans="2:13" ht="12.95" customHeight="1" x14ac:dyDescent="0.25">
      <c r="B90" s="39"/>
      <c r="C90" s="37"/>
      <c r="D90" s="28"/>
      <c r="E90" s="35"/>
      <c r="F90" s="38"/>
      <c r="G90" s="38"/>
      <c r="H90" s="40"/>
      <c r="I90" s="41" t="str">
        <f>IF($E90="","",IF(COUNTIF($K$10:$K90,$K90)&gt;1,"DUPLICATE","No"))</f>
        <v/>
      </c>
      <c r="J90" s="41" t="str">
        <f t="shared" si="4"/>
        <v/>
      </c>
      <c r="K90" s="42" t="str">
        <f t="shared" si="5"/>
        <v/>
      </c>
      <c r="L90" s="43" t="str">
        <f t="shared" si="6"/>
        <v/>
      </c>
      <c r="M90" s="44" t="str">
        <f t="shared" si="7"/>
        <v/>
      </c>
    </row>
    <row r="91" spans="2:13" ht="12.95" customHeight="1" x14ac:dyDescent="0.25">
      <c r="B91" s="39"/>
      <c r="C91" s="37"/>
      <c r="D91" s="28"/>
      <c r="E91" s="35"/>
      <c r="F91" s="38"/>
      <c r="G91" s="38"/>
      <c r="H91" s="40"/>
      <c r="I91" s="45" t="str">
        <f>IF($E91="","",IF(COUNTIF($K$10:$K91,$K91)&gt;1,"DUPLICATE","No"))</f>
        <v/>
      </c>
      <c r="J91" s="45" t="str">
        <f t="shared" si="4"/>
        <v/>
      </c>
      <c r="K91" s="46" t="str">
        <f t="shared" si="5"/>
        <v/>
      </c>
      <c r="L91" s="47" t="str">
        <f t="shared" si="6"/>
        <v/>
      </c>
      <c r="M91" s="48" t="str">
        <f t="shared" si="7"/>
        <v/>
      </c>
    </row>
    <row r="92" spans="2:13" ht="12.95" customHeight="1" x14ac:dyDescent="0.25">
      <c r="B92" s="39"/>
      <c r="C92" s="37"/>
      <c r="D92" s="28"/>
      <c r="E92" s="35"/>
      <c r="F92" s="38"/>
      <c r="G92" s="38"/>
      <c r="H92" s="40"/>
      <c r="I92" s="41" t="str">
        <f>IF($E92="","",IF(COUNTIF($K$10:$K92,$K92)&gt;1,"DUPLICATE","No"))</f>
        <v/>
      </c>
      <c r="J92" s="41" t="str">
        <f t="shared" si="4"/>
        <v/>
      </c>
      <c r="K92" s="42" t="str">
        <f t="shared" si="5"/>
        <v/>
      </c>
      <c r="L92" s="43" t="str">
        <f t="shared" si="6"/>
        <v/>
      </c>
      <c r="M92" s="44" t="str">
        <f t="shared" si="7"/>
        <v/>
      </c>
    </row>
    <row r="93" spans="2:13" ht="12.95" customHeight="1" x14ac:dyDescent="0.25">
      <c r="B93" s="39"/>
      <c r="C93" s="37"/>
      <c r="D93" s="28"/>
      <c r="E93" s="35"/>
      <c r="F93" s="38"/>
      <c r="G93" s="38"/>
      <c r="H93" s="40"/>
      <c r="I93" s="45" t="str">
        <f>IF($E93="","",IF(COUNTIF($K$10:$K93,$K93)&gt;1,"DUPLICATE","No"))</f>
        <v/>
      </c>
      <c r="J93" s="45" t="str">
        <f t="shared" si="4"/>
        <v/>
      </c>
      <c r="K93" s="46" t="str">
        <f t="shared" si="5"/>
        <v/>
      </c>
      <c r="L93" s="47" t="str">
        <f t="shared" si="6"/>
        <v/>
      </c>
      <c r="M93" s="48" t="str">
        <f t="shared" si="7"/>
        <v/>
      </c>
    </row>
    <row r="94" spans="2:13" ht="12.95" customHeight="1" x14ac:dyDescent="0.25">
      <c r="B94" s="39"/>
      <c r="C94" s="37"/>
      <c r="D94" s="28"/>
      <c r="E94" s="35"/>
      <c r="F94" s="38"/>
      <c r="G94" s="38"/>
      <c r="H94" s="40"/>
      <c r="I94" s="41" t="str">
        <f>IF($E94="","",IF(COUNTIF($K$10:$K94,$K94)&gt;1,"DUPLICATE","No"))</f>
        <v/>
      </c>
      <c r="J94" s="41" t="str">
        <f t="shared" si="4"/>
        <v/>
      </c>
      <c r="K94" s="42" t="str">
        <f t="shared" si="5"/>
        <v/>
      </c>
      <c r="L94" s="43" t="str">
        <f t="shared" si="6"/>
        <v/>
      </c>
      <c r="M94" s="44" t="str">
        <f t="shared" si="7"/>
        <v/>
      </c>
    </row>
    <row r="95" spans="2:13" ht="12.95" customHeight="1" x14ac:dyDescent="0.25">
      <c r="B95" s="39"/>
      <c r="C95" s="37"/>
      <c r="D95" s="28"/>
      <c r="E95" s="35"/>
      <c r="F95" s="38"/>
      <c r="G95" s="38"/>
      <c r="H95" s="40"/>
      <c r="I95" s="45" t="str">
        <f>IF($E95="","",IF(COUNTIF($K$10:$K95,$K95)&gt;1,"DUPLICATE","No"))</f>
        <v/>
      </c>
      <c r="J95" s="45" t="str">
        <f t="shared" si="4"/>
        <v/>
      </c>
      <c r="K95" s="46" t="str">
        <f t="shared" si="5"/>
        <v/>
      </c>
      <c r="L95" s="47" t="str">
        <f t="shared" si="6"/>
        <v/>
      </c>
      <c r="M95" s="48" t="str">
        <f t="shared" si="7"/>
        <v/>
      </c>
    </row>
    <row r="96" spans="2:13" ht="12.95" customHeight="1" x14ac:dyDescent="0.25">
      <c r="B96" s="39"/>
      <c r="C96" s="37"/>
      <c r="D96" s="28"/>
      <c r="E96" s="35"/>
      <c r="F96" s="38"/>
      <c r="G96" s="38"/>
      <c r="H96" s="40"/>
      <c r="I96" s="41" t="str">
        <f>IF($E96="","",IF(COUNTIF($K$10:$K96,$K96)&gt;1,"DUPLICATE","No"))</f>
        <v/>
      </c>
      <c r="J96" s="41" t="str">
        <f t="shared" si="4"/>
        <v/>
      </c>
      <c r="K96" s="42" t="str">
        <f t="shared" si="5"/>
        <v/>
      </c>
      <c r="L96" s="43" t="str">
        <f t="shared" si="6"/>
        <v/>
      </c>
      <c r="M96" s="44" t="str">
        <f t="shared" si="7"/>
        <v/>
      </c>
    </row>
    <row r="97" spans="2:13" ht="12.95" customHeight="1" x14ac:dyDescent="0.25">
      <c r="B97" s="39"/>
      <c r="C97" s="37"/>
      <c r="D97" s="28"/>
      <c r="E97" s="35"/>
      <c r="F97" s="38"/>
      <c r="G97" s="38"/>
      <c r="H97" s="40"/>
      <c r="I97" s="45" t="str">
        <f>IF($E97="","",IF(COUNTIF($K$10:$K97,$K97)&gt;1,"DUPLICATE","No"))</f>
        <v/>
      </c>
      <c r="J97" s="45" t="str">
        <f t="shared" si="4"/>
        <v/>
      </c>
      <c r="K97" s="46" t="str">
        <f t="shared" si="5"/>
        <v/>
      </c>
      <c r="L97" s="47" t="str">
        <f t="shared" si="6"/>
        <v/>
      </c>
      <c r="M97" s="48" t="str">
        <f t="shared" si="7"/>
        <v/>
      </c>
    </row>
    <row r="98" spans="2:13" ht="12.95" customHeight="1" x14ac:dyDescent="0.25">
      <c r="B98" s="39"/>
      <c r="C98" s="37"/>
      <c r="D98" s="28"/>
      <c r="E98" s="35"/>
      <c r="F98" s="38"/>
      <c r="G98" s="38"/>
      <c r="H98" s="40"/>
      <c r="I98" s="41" t="str">
        <f>IF($E98="","",IF(COUNTIF($K$10:$K98,$K98)&gt;1,"DUPLICATE","No"))</f>
        <v/>
      </c>
      <c r="J98" s="41" t="str">
        <f t="shared" si="4"/>
        <v/>
      </c>
      <c r="K98" s="42" t="str">
        <f t="shared" si="5"/>
        <v/>
      </c>
      <c r="L98" s="43" t="str">
        <f t="shared" si="6"/>
        <v/>
      </c>
      <c r="M98" s="44" t="str">
        <f t="shared" si="7"/>
        <v/>
      </c>
    </row>
    <row r="99" spans="2:13" ht="12.95" customHeight="1" x14ac:dyDescent="0.25">
      <c r="B99" s="39"/>
      <c r="C99" s="37"/>
      <c r="D99" s="28"/>
      <c r="E99" s="35"/>
      <c r="F99" s="38"/>
      <c r="G99" s="38"/>
      <c r="H99" s="40"/>
      <c r="I99" s="45" t="str">
        <f>IF($E99="","",IF(COUNTIF($K$10:$K99,$K99)&gt;1,"DUPLICATE","No"))</f>
        <v/>
      </c>
      <c r="J99" s="45" t="str">
        <f t="shared" si="4"/>
        <v/>
      </c>
      <c r="K99" s="46" t="str">
        <f t="shared" si="5"/>
        <v/>
      </c>
      <c r="L99" s="47" t="str">
        <f t="shared" si="6"/>
        <v/>
      </c>
      <c r="M99" s="48" t="str">
        <f t="shared" si="7"/>
        <v/>
      </c>
    </row>
    <row r="100" spans="2:13" ht="12.95" customHeight="1" x14ac:dyDescent="0.25">
      <c r="B100" s="39"/>
      <c r="C100" s="37"/>
      <c r="D100" s="28"/>
      <c r="E100" s="35"/>
      <c r="F100" s="38"/>
      <c r="G100" s="38"/>
      <c r="H100" s="40"/>
      <c r="I100" s="41" t="str">
        <f>IF($E100="","",IF(COUNTIF($K$10:$K100,$K100)&gt;1,"DUPLICATE","No"))</f>
        <v/>
      </c>
      <c r="J100" s="41" t="str">
        <f t="shared" si="4"/>
        <v/>
      </c>
      <c r="K100" s="42" t="str">
        <f t="shared" si="5"/>
        <v/>
      </c>
      <c r="L100" s="43" t="str">
        <f t="shared" si="6"/>
        <v/>
      </c>
      <c r="M100" s="44" t="str">
        <f t="shared" si="7"/>
        <v/>
      </c>
    </row>
    <row r="101" spans="2:13" ht="12.95" customHeight="1" x14ac:dyDescent="0.25">
      <c r="B101" s="39"/>
      <c r="C101" s="37"/>
      <c r="D101" s="28"/>
      <c r="E101" s="35"/>
      <c r="F101" s="38"/>
      <c r="G101" s="38"/>
      <c r="H101" s="40"/>
      <c r="I101" s="45" t="str">
        <f>IF($E101="","",IF(COUNTIF($K$10:$K101,$K101)&gt;1,"DUPLICATE","No"))</f>
        <v/>
      </c>
      <c r="J101" s="45" t="str">
        <f t="shared" si="4"/>
        <v/>
      </c>
      <c r="K101" s="46" t="str">
        <f t="shared" si="5"/>
        <v/>
      </c>
      <c r="L101" s="47" t="str">
        <f t="shared" si="6"/>
        <v/>
      </c>
      <c r="M101" s="48" t="str">
        <f t="shared" si="7"/>
        <v/>
      </c>
    </row>
    <row r="102" spans="2:13" ht="12.95" customHeight="1" x14ac:dyDescent="0.25">
      <c r="B102" s="39"/>
      <c r="C102" s="37"/>
      <c r="D102" s="28"/>
      <c r="E102" s="35"/>
      <c r="F102" s="38"/>
      <c r="G102" s="38"/>
      <c r="H102" s="40"/>
      <c r="I102" s="41" t="str">
        <f>IF($E102="","",IF(COUNTIF($K$10:$K102,$K102)&gt;1,"DUPLICATE","No"))</f>
        <v/>
      </c>
      <c r="J102" s="41" t="str">
        <f t="shared" si="4"/>
        <v/>
      </c>
      <c r="K102" s="42" t="str">
        <f t="shared" si="5"/>
        <v/>
      </c>
      <c r="L102" s="43" t="str">
        <f t="shared" si="6"/>
        <v/>
      </c>
      <c r="M102" s="44" t="str">
        <f t="shared" si="7"/>
        <v/>
      </c>
    </row>
    <row r="103" spans="2:13" ht="12.95" customHeight="1" x14ac:dyDescent="0.25">
      <c r="B103" s="39"/>
      <c r="C103" s="37"/>
      <c r="D103" s="28"/>
      <c r="E103" s="35"/>
      <c r="F103" s="38"/>
      <c r="G103" s="38"/>
      <c r="H103" s="40"/>
      <c r="I103" s="45" t="str">
        <f>IF($E103="","",IF(COUNTIF($K$10:$K103,$K103)&gt;1,"DUPLICATE","No"))</f>
        <v/>
      </c>
      <c r="J103" s="45" t="str">
        <f t="shared" si="4"/>
        <v/>
      </c>
      <c r="K103" s="46" t="str">
        <f t="shared" si="5"/>
        <v/>
      </c>
      <c r="L103" s="47" t="str">
        <f t="shared" si="6"/>
        <v/>
      </c>
      <c r="M103" s="48" t="str">
        <f t="shared" si="7"/>
        <v/>
      </c>
    </row>
    <row r="104" spans="2:13" ht="12.95" customHeight="1" x14ac:dyDescent="0.25">
      <c r="B104" s="39"/>
      <c r="C104" s="37"/>
      <c r="D104" s="28"/>
      <c r="E104" s="35"/>
      <c r="F104" s="38"/>
      <c r="G104" s="38"/>
      <c r="H104" s="40"/>
      <c r="I104" s="41" t="str">
        <f>IF($E104="","",IF(COUNTIF($K$10:$K104,$K104)&gt;1,"DUPLICATE","No"))</f>
        <v/>
      </c>
      <c r="J104" s="41" t="str">
        <f t="shared" si="4"/>
        <v/>
      </c>
      <c r="K104" s="42" t="str">
        <f t="shared" si="5"/>
        <v/>
      </c>
      <c r="L104" s="43" t="str">
        <f t="shared" si="6"/>
        <v/>
      </c>
      <c r="M104" s="44" t="str">
        <f t="shared" si="7"/>
        <v/>
      </c>
    </row>
    <row r="105" spans="2:13" ht="12.95" customHeight="1" x14ac:dyDescent="0.25">
      <c r="B105" s="39"/>
      <c r="C105" s="37"/>
      <c r="D105" s="28"/>
      <c r="E105" s="35"/>
      <c r="F105" s="38"/>
      <c r="G105" s="38"/>
      <c r="H105" s="40"/>
      <c r="I105" s="45" t="str">
        <f>IF($E105="","",IF(COUNTIF($K$10:$K105,$K105)&gt;1,"DUPLICATE","No"))</f>
        <v/>
      </c>
      <c r="J105" s="45" t="str">
        <f t="shared" si="4"/>
        <v/>
      </c>
      <c r="K105" s="46" t="str">
        <f t="shared" si="5"/>
        <v/>
      </c>
      <c r="L105" s="47" t="str">
        <f t="shared" si="6"/>
        <v/>
      </c>
      <c r="M105" s="48" t="str">
        <f t="shared" si="7"/>
        <v/>
      </c>
    </row>
    <row r="106" spans="2:13" ht="12.95" customHeight="1" x14ac:dyDescent="0.25">
      <c r="B106" s="39"/>
      <c r="C106" s="37"/>
      <c r="D106" s="28"/>
      <c r="E106" s="35"/>
      <c r="F106" s="38"/>
      <c r="G106" s="38"/>
      <c r="H106" s="40"/>
      <c r="I106" s="41" t="str">
        <f>IF($E106="","",IF(COUNTIF($K$10:$K106,$K106)&gt;1,"DUPLICATE","No"))</f>
        <v/>
      </c>
      <c r="J106" s="41" t="str">
        <f t="shared" si="4"/>
        <v/>
      </c>
      <c r="K106" s="42" t="str">
        <f t="shared" si="5"/>
        <v/>
      </c>
      <c r="L106" s="43" t="str">
        <f t="shared" si="6"/>
        <v/>
      </c>
      <c r="M106" s="44" t="str">
        <f t="shared" si="7"/>
        <v/>
      </c>
    </row>
    <row r="107" spans="2:13" ht="12.95" customHeight="1" x14ac:dyDescent="0.25">
      <c r="B107" s="39"/>
      <c r="C107" s="37"/>
      <c r="D107" s="28"/>
      <c r="E107" s="35"/>
      <c r="F107" s="38"/>
      <c r="G107" s="38"/>
      <c r="H107" s="40"/>
      <c r="I107" s="45" t="str">
        <f>IF($E107="","",IF(COUNTIF($K$10:$K107,$K107)&gt;1,"DUPLICATE","No"))</f>
        <v/>
      </c>
      <c r="J107" s="45" t="str">
        <f t="shared" si="4"/>
        <v/>
      </c>
      <c r="K107" s="46" t="str">
        <f t="shared" si="5"/>
        <v/>
      </c>
      <c r="L107" s="47" t="str">
        <f t="shared" si="6"/>
        <v/>
      </c>
      <c r="M107" s="48" t="str">
        <f t="shared" si="7"/>
        <v/>
      </c>
    </row>
    <row r="108" spans="2:13" ht="12.95" customHeight="1" x14ac:dyDescent="0.25">
      <c r="B108" s="39"/>
      <c r="C108" s="37"/>
      <c r="D108" s="28"/>
      <c r="E108" s="35"/>
      <c r="F108" s="38"/>
      <c r="G108" s="38"/>
      <c r="H108" s="40"/>
      <c r="I108" s="41" t="str">
        <f>IF($E108="","",IF(COUNTIF($K$10:$K108,$K108)&gt;1,"DUPLICATE","No"))</f>
        <v/>
      </c>
      <c r="J108" s="41" t="str">
        <f t="shared" si="4"/>
        <v/>
      </c>
      <c r="K108" s="42" t="str">
        <f t="shared" si="5"/>
        <v/>
      </c>
      <c r="L108" s="43" t="str">
        <f t="shared" si="6"/>
        <v/>
      </c>
      <c r="M108" s="44" t="str">
        <f t="shared" si="7"/>
        <v/>
      </c>
    </row>
    <row r="109" spans="2:13" ht="12.95" customHeight="1" x14ac:dyDescent="0.25">
      <c r="B109" s="39"/>
      <c r="C109" s="37"/>
      <c r="D109" s="28"/>
      <c r="E109" s="35"/>
      <c r="F109" s="38"/>
      <c r="G109" s="38"/>
      <c r="H109" s="40"/>
      <c r="I109" s="45" t="str">
        <f>IF($E109="","",IF(COUNTIF($K$10:$K109,$K109)&gt;1,"DUPLICATE","No"))</f>
        <v/>
      </c>
      <c r="J109" s="45" t="str">
        <f t="shared" si="4"/>
        <v/>
      </c>
      <c r="K109" s="46" t="str">
        <f t="shared" si="5"/>
        <v/>
      </c>
      <c r="L109" s="47" t="str">
        <f t="shared" si="6"/>
        <v/>
      </c>
      <c r="M109" s="48" t="str">
        <f t="shared" si="7"/>
        <v/>
      </c>
    </row>
    <row r="110" spans="2:13" ht="12.95" customHeight="1" x14ac:dyDescent="0.25">
      <c r="B110" s="39"/>
      <c r="C110" s="37"/>
      <c r="D110" s="28"/>
      <c r="E110" s="35"/>
      <c r="F110" s="38"/>
      <c r="G110" s="38"/>
      <c r="H110" s="40"/>
      <c r="I110" s="41" t="str">
        <f>IF($E110="","",IF(COUNTIF($K$10:$K110,$K110)&gt;1,"DUPLICATE","No"))</f>
        <v/>
      </c>
      <c r="J110" s="41" t="str">
        <f t="shared" si="4"/>
        <v/>
      </c>
      <c r="K110" s="42" t="str">
        <f t="shared" si="5"/>
        <v/>
      </c>
      <c r="L110" s="43" t="str">
        <f t="shared" si="6"/>
        <v/>
      </c>
      <c r="M110" s="44" t="str">
        <f t="shared" si="7"/>
        <v/>
      </c>
    </row>
    <row r="111" spans="2:13" ht="12.95" customHeight="1" x14ac:dyDescent="0.25">
      <c r="B111" s="39"/>
      <c r="C111" s="37"/>
      <c r="D111" s="28"/>
      <c r="E111" s="35"/>
      <c r="F111" s="38"/>
      <c r="G111" s="38"/>
      <c r="H111" s="40"/>
      <c r="I111" s="45" t="str">
        <f>IF($E111="","",IF(COUNTIF($K$10:$K111,$K111)&gt;1,"DUPLICATE","No"))</f>
        <v/>
      </c>
      <c r="J111" s="45" t="str">
        <f t="shared" si="4"/>
        <v/>
      </c>
      <c r="K111" s="46" t="str">
        <f t="shared" si="5"/>
        <v/>
      </c>
      <c r="L111" s="47" t="str">
        <f t="shared" si="6"/>
        <v/>
      </c>
      <c r="M111" s="48" t="str">
        <f t="shared" si="7"/>
        <v/>
      </c>
    </row>
    <row r="112" spans="2:13" ht="12.95" customHeight="1" x14ac:dyDescent="0.25">
      <c r="B112" s="39"/>
      <c r="C112" s="37"/>
      <c r="D112" s="28"/>
      <c r="E112" s="35"/>
      <c r="F112" s="38"/>
      <c r="G112" s="38"/>
      <c r="H112" s="40"/>
      <c r="I112" s="41" t="str">
        <f>IF($E112="","",IF(COUNTIF($K$10:$K112,$K112)&gt;1,"DUPLICATE","No"))</f>
        <v/>
      </c>
      <c r="J112" s="41" t="str">
        <f t="shared" si="4"/>
        <v/>
      </c>
      <c r="K112" s="42" t="str">
        <f t="shared" si="5"/>
        <v/>
      </c>
      <c r="L112" s="43" t="str">
        <f t="shared" si="6"/>
        <v/>
      </c>
      <c r="M112" s="44" t="str">
        <f t="shared" si="7"/>
        <v/>
      </c>
    </row>
    <row r="113" spans="2:13" ht="12.95" customHeight="1" x14ac:dyDescent="0.25">
      <c r="B113" s="39"/>
      <c r="C113" s="37"/>
      <c r="D113" s="28"/>
      <c r="E113" s="35"/>
      <c r="F113" s="38"/>
      <c r="G113" s="38"/>
      <c r="H113" s="40"/>
      <c r="I113" s="45" t="str">
        <f>IF($E113="","",IF(COUNTIF($K$10:$K113,$K113)&gt;1,"DUPLICATE","No"))</f>
        <v/>
      </c>
      <c r="J113" s="45" t="str">
        <f t="shared" si="4"/>
        <v/>
      </c>
      <c r="K113" s="46" t="str">
        <f t="shared" si="5"/>
        <v/>
      </c>
      <c r="L113" s="47" t="str">
        <f t="shared" si="6"/>
        <v/>
      </c>
      <c r="M113" s="48" t="str">
        <f t="shared" si="7"/>
        <v/>
      </c>
    </row>
    <row r="114" spans="2:13" ht="12.95" customHeight="1" x14ac:dyDescent="0.25">
      <c r="B114" s="39"/>
      <c r="C114" s="37"/>
      <c r="D114" s="28"/>
      <c r="E114" s="35"/>
      <c r="F114" s="38"/>
      <c r="G114" s="38"/>
      <c r="H114" s="40"/>
      <c r="I114" s="41" t="str">
        <f>IF($E114="","",IF(COUNTIF($K$10:$K114,$K114)&gt;1,"DUPLICATE","No"))</f>
        <v/>
      </c>
      <c r="J114" s="41" t="str">
        <f t="shared" si="4"/>
        <v/>
      </c>
      <c r="K114" s="42" t="str">
        <f t="shared" si="5"/>
        <v/>
      </c>
      <c r="L114" s="43" t="str">
        <f t="shared" si="6"/>
        <v/>
      </c>
      <c r="M114" s="44" t="str">
        <f t="shared" si="7"/>
        <v/>
      </c>
    </row>
    <row r="115" spans="2:13" ht="12.95" customHeight="1" x14ac:dyDescent="0.25">
      <c r="B115" s="39"/>
      <c r="C115" s="37"/>
      <c r="D115" s="28"/>
      <c r="E115" s="35"/>
      <c r="F115" s="38"/>
      <c r="G115" s="38"/>
      <c r="H115" s="40"/>
      <c r="I115" s="45" t="str">
        <f>IF($E115="","",IF(COUNTIF($K$10:$K115,$K115)&gt;1,"DUPLICATE","No"))</f>
        <v/>
      </c>
      <c r="J115" s="45" t="str">
        <f t="shared" si="4"/>
        <v/>
      </c>
      <c r="K115" s="46" t="str">
        <f t="shared" si="5"/>
        <v/>
      </c>
      <c r="L115" s="47" t="str">
        <f t="shared" si="6"/>
        <v/>
      </c>
      <c r="M115" s="48" t="str">
        <f t="shared" si="7"/>
        <v/>
      </c>
    </row>
    <row r="116" spans="2:13" ht="12.95" customHeight="1" x14ac:dyDescent="0.25">
      <c r="B116" s="39"/>
      <c r="C116" s="37"/>
      <c r="D116" s="28"/>
      <c r="E116" s="35"/>
      <c r="F116" s="38"/>
      <c r="G116" s="38"/>
      <c r="H116" s="40"/>
      <c r="I116" s="41" t="str">
        <f>IF($E116="","",IF(COUNTIF($K$10:$K116,$K116)&gt;1,"DUPLICATE","No"))</f>
        <v/>
      </c>
      <c r="J116" s="41" t="str">
        <f t="shared" si="4"/>
        <v/>
      </c>
      <c r="K116" s="42" t="str">
        <f t="shared" si="5"/>
        <v/>
      </c>
      <c r="L116" s="43" t="str">
        <f t="shared" si="6"/>
        <v/>
      </c>
      <c r="M116" s="44" t="str">
        <f t="shared" si="7"/>
        <v/>
      </c>
    </row>
    <row r="117" spans="2:13" ht="12.95" customHeight="1" x14ac:dyDescent="0.25">
      <c r="B117" s="39"/>
      <c r="C117" s="37"/>
      <c r="D117" s="28"/>
      <c r="E117" s="35"/>
      <c r="F117" s="38"/>
      <c r="G117" s="38"/>
      <c r="H117" s="40"/>
      <c r="I117" s="45" t="str">
        <f>IF($E117="","",IF(COUNTIF($K$10:$K117,$K117)&gt;1,"DUPLICATE","No"))</f>
        <v/>
      </c>
      <c r="J117" s="45" t="str">
        <f t="shared" si="4"/>
        <v/>
      </c>
      <c r="K117" s="46" t="str">
        <f t="shared" si="5"/>
        <v/>
      </c>
      <c r="L117" s="47" t="str">
        <f t="shared" si="6"/>
        <v/>
      </c>
      <c r="M117" s="48" t="str">
        <f t="shared" si="7"/>
        <v/>
      </c>
    </row>
    <row r="118" spans="2:13" ht="12.95" customHeight="1" x14ac:dyDescent="0.25">
      <c r="B118" s="39"/>
      <c r="C118" s="37"/>
      <c r="D118" s="28"/>
      <c r="E118" s="35"/>
      <c r="F118" s="38"/>
      <c r="G118" s="38"/>
      <c r="H118" s="40"/>
      <c r="I118" s="41" t="str">
        <f>IF($E118="","",IF(COUNTIF($K$10:$K118,$K118)&gt;1,"DUPLICATE","No"))</f>
        <v/>
      </c>
      <c r="J118" s="41" t="str">
        <f t="shared" si="4"/>
        <v/>
      </c>
      <c r="K118" s="42" t="str">
        <f t="shared" si="5"/>
        <v/>
      </c>
      <c r="L118" s="43" t="str">
        <f t="shared" si="6"/>
        <v/>
      </c>
      <c r="M118" s="44" t="str">
        <f t="shared" si="7"/>
        <v/>
      </c>
    </row>
    <row r="119" spans="2:13" ht="12.95" customHeight="1" x14ac:dyDescent="0.25">
      <c r="B119" s="39"/>
      <c r="C119" s="37"/>
      <c r="D119" s="28"/>
      <c r="E119" s="35"/>
      <c r="F119" s="38"/>
      <c r="G119" s="38"/>
      <c r="H119" s="40"/>
      <c r="I119" s="45" t="str">
        <f>IF($E119="","",IF(COUNTIF($K$10:$K119,$K119)&gt;1,"DUPLICATE","No"))</f>
        <v/>
      </c>
      <c r="J119" s="45" t="str">
        <f t="shared" si="4"/>
        <v/>
      </c>
      <c r="K119" s="46" t="str">
        <f t="shared" si="5"/>
        <v/>
      </c>
      <c r="L119" s="47" t="str">
        <f t="shared" si="6"/>
        <v/>
      </c>
      <c r="M119" s="48" t="str">
        <f t="shared" si="7"/>
        <v/>
      </c>
    </row>
    <row r="120" spans="2:13" ht="12.95" customHeight="1" x14ac:dyDescent="0.25">
      <c r="B120" s="39"/>
      <c r="C120" s="37"/>
      <c r="D120" s="28"/>
      <c r="E120" s="35"/>
      <c r="F120" s="38"/>
      <c r="G120" s="38"/>
      <c r="H120" s="40"/>
      <c r="I120" s="41" t="str">
        <f>IF($E120="","",IF(COUNTIF($K$10:$K120,$K120)&gt;1,"DUPLICATE","No"))</f>
        <v/>
      </c>
      <c r="J120" s="41" t="str">
        <f t="shared" si="4"/>
        <v/>
      </c>
      <c r="K120" s="42" t="str">
        <f t="shared" si="5"/>
        <v/>
      </c>
      <c r="L120" s="43" t="str">
        <f t="shared" si="6"/>
        <v/>
      </c>
      <c r="M120" s="44" t="str">
        <f t="shared" si="7"/>
        <v/>
      </c>
    </row>
    <row r="121" spans="2:13" ht="12.95" customHeight="1" x14ac:dyDescent="0.25">
      <c r="B121" s="39"/>
      <c r="C121" s="37"/>
      <c r="D121" s="28"/>
      <c r="E121" s="35"/>
      <c r="F121" s="38"/>
      <c r="G121" s="38"/>
      <c r="H121" s="40"/>
      <c r="I121" s="45" t="str">
        <f>IF($E121="","",IF(COUNTIF($K$10:$K121,$K121)&gt;1,"DUPLICATE","No"))</f>
        <v/>
      </c>
      <c r="J121" s="45" t="str">
        <f t="shared" si="4"/>
        <v/>
      </c>
      <c r="K121" s="46" t="str">
        <f t="shared" si="5"/>
        <v/>
      </c>
      <c r="L121" s="47" t="str">
        <f t="shared" si="6"/>
        <v/>
      </c>
      <c r="M121" s="48" t="str">
        <f t="shared" si="7"/>
        <v/>
      </c>
    </row>
    <row r="122" spans="2:13" ht="12.95" customHeight="1" x14ac:dyDescent="0.25">
      <c r="B122" s="39"/>
      <c r="C122" s="37"/>
      <c r="D122" s="28"/>
      <c r="E122" s="35"/>
      <c r="F122" s="38"/>
      <c r="G122" s="38"/>
      <c r="H122" s="40"/>
      <c r="I122" s="41" t="str">
        <f>IF($E122="","",IF(COUNTIF($K$10:$K122,$K122)&gt;1,"DUPLICATE","No"))</f>
        <v/>
      </c>
      <c r="J122" s="41" t="str">
        <f t="shared" si="4"/>
        <v/>
      </c>
      <c r="K122" s="42" t="str">
        <f t="shared" si="5"/>
        <v/>
      </c>
      <c r="L122" s="43" t="str">
        <f t="shared" si="6"/>
        <v/>
      </c>
      <c r="M122" s="44" t="str">
        <f t="shared" si="7"/>
        <v/>
      </c>
    </row>
    <row r="123" spans="2:13" ht="12.95" customHeight="1" x14ac:dyDescent="0.25">
      <c r="B123" s="39"/>
      <c r="C123" s="37"/>
      <c r="D123" s="28"/>
      <c r="E123" s="35"/>
      <c r="F123" s="38"/>
      <c r="G123" s="38"/>
      <c r="H123" s="40"/>
      <c r="I123" s="45" t="str">
        <f>IF($E123="","",IF(COUNTIF($K$10:$K123,$K123)&gt;1,"DUPLICATE","No"))</f>
        <v/>
      </c>
      <c r="J123" s="45" t="str">
        <f t="shared" si="4"/>
        <v/>
      </c>
      <c r="K123" s="46" t="str">
        <f t="shared" si="5"/>
        <v/>
      </c>
      <c r="L123" s="47" t="str">
        <f t="shared" si="6"/>
        <v/>
      </c>
      <c r="M123" s="48" t="str">
        <f t="shared" si="7"/>
        <v/>
      </c>
    </row>
    <row r="124" spans="2:13" ht="12.95" customHeight="1" x14ac:dyDescent="0.25">
      <c r="B124" s="39"/>
      <c r="C124" s="37"/>
      <c r="D124" s="28"/>
      <c r="E124" s="35"/>
      <c r="F124" s="38"/>
      <c r="G124" s="38"/>
      <c r="H124" s="40"/>
      <c r="I124" s="41" t="str">
        <f>IF($E124="","",IF(COUNTIF($K$10:$K124,$K124)&gt;1,"DUPLICATE","No"))</f>
        <v/>
      </c>
      <c r="J124" s="41" t="str">
        <f t="shared" si="4"/>
        <v/>
      </c>
      <c r="K124" s="42" t="str">
        <f t="shared" si="5"/>
        <v/>
      </c>
      <c r="L124" s="43" t="str">
        <f t="shared" si="6"/>
        <v/>
      </c>
      <c r="M124" s="44" t="str">
        <f t="shared" si="7"/>
        <v/>
      </c>
    </row>
    <row r="125" spans="2:13" ht="12.95" customHeight="1" x14ac:dyDescent="0.25">
      <c r="B125" s="39"/>
      <c r="C125" s="37"/>
      <c r="D125" s="28"/>
      <c r="E125" s="35"/>
      <c r="F125" s="38"/>
      <c r="G125" s="38"/>
      <c r="H125" s="40"/>
      <c r="I125" s="45" t="str">
        <f>IF($E125="","",IF(COUNTIF($K$10:$K125,$K125)&gt;1,"DUPLICATE","No"))</f>
        <v/>
      </c>
      <c r="J125" s="45" t="str">
        <f t="shared" si="4"/>
        <v/>
      </c>
      <c r="K125" s="46" t="str">
        <f t="shared" si="5"/>
        <v/>
      </c>
      <c r="L125" s="47" t="str">
        <f t="shared" si="6"/>
        <v/>
      </c>
      <c r="M125" s="48" t="str">
        <f t="shared" si="7"/>
        <v/>
      </c>
    </row>
    <row r="126" spans="2:13" ht="12.95" customHeight="1" x14ac:dyDescent="0.25">
      <c r="B126" s="39"/>
      <c r="C126" s="37"/>
      <c r="D126" s="28"/>
      <c r="E126" s="35"/>
      <c r="F126" s="38"/>
      <c r="G126" s="38"/>
      <c r="H126" s="40"/>
      <c r="I126" s="41" t="str">
        <f>IF($E126="","",IF(COUNTIF($K$10:$K126,$K126)&gt;1,"DUPLICATE","No"))</f>
        <v/>
      </c>
      <c r="J126" s="41" t="str">
        <f t="shared" si="4"/>
        <v/>
      </c>
      <c r="K126" s="42" t="str">
        <f t="shared" si="5"/>
        <v/>
      </c>
      <c r="L126" s="43" t="str">
        <f t="shared" si="6"/>
        <v/>
      </c>
      <c r="M126" s="44" t="str">
        <f t="shared" si="7"/>
        <v/>
      </c>
    </row>
    <row r="127" spans="2:13" ht="12.95" customHeight="1" x14ac:dyDescent="0.25">
      <c r="B127" s="39"/>
      <c r="C127" s="37"/>
      <c r="D127" s="28"/>
      <c r="E127" s="35"/>
      <c r="F127" s="38"/>
      <c r="G127" s="38"/>
      <c r="H127" s="40"/>
      <c r="I127" s="45" t="str">
        <f>IF($E127="","",IF(COUNTIF($K$10:$K127,$K127)&gt;1,"DUPLICATE","No"))</f>
        <v/>
      </c>
      <c r="J127" s="45" t="str">
        <f t="shared" si="4"/>
        <v/>
      </c>
      <c r="K127" s="46" t="str">
        <f t="shared" si="5"/>
        <v/>
      </c>
      <c r="L127" s="47" t="str">
        <f t="shared" si="6"/>
        <v/>
      </c>
      <c r="M127" s="48" t="str">
        <f t="shared" si="7"/>
        <v/>
      </c>
    </row>
    <row r="128" spans="2:13" ht="12.95" customHeight="1" x14ac:dyDescent="0.25">
      <c r="B128" s="39"/>
      <c r="C128" s="37"/>
      <c r="D128" s="28"/>
      <c r="E128" s="35"/>
      <c r="F128" s="38"/>
      <c r="G128" s="38"/>
      <c r="H128" s="40"/>
      <c r="I128" s="41" t="str">
        <f>IF($E128="","",IF(COUNTIF($K$10:$K128,$K128)&gt;1,"DUPLICATE","No"))</f>
        <v/>
      </c>
      <c r="J128" s="41" t="str">
        <f t="shared" si="4"/>
        <v/>
      </c>
      <c r="K128" s="42" t="str">
        <f t="shared" si="5"/>
        <v/>
      </c>
      <c r="L128" s="43" t="str">
        <f t="shared" si="6"/>
        <v/>
      </c>
      <c r="M128" s="44" t="str">
        <f t="shared" si="7"/>
        <v/>
      </c>
    </row>
    <row r="129" spans="2:13" ht="12.95" customHeight="1" x14ac:dyDescent="0.25">
      <c r="B129" s="39"/>
      <c r="C129" s="37"/>
      <c r="D129" s="28"/>
      <c r="E129" s="35"/>
      <c r="F129" s="38"/>
      <c r="G129" s="38"/>
      <c r="H129" s="40"/>
      <c r="I129" s="45" t="str">
        <f>IF($E129="","",IF(COUNTIF($K$10:$K129,$K129)&gt;1,"DUPLICATE","No"))</f>
        <v/>
      </c>
      <c r="J129" s="45" t="str">
        <f t="shared" si="4"/>
        <v/>
      </c>
      <c r="K129" s="46" t="str">
        <f t="shared" si="5"/>
        <v/>
      </c>
      <c r="L129" s="47" t="str">
        <f t="shared" si="6"/>
        <v/>
      </c>
      <c r="M129" s="48" t="str">
        <f t="shared" si="7"/>
        <v/>
      </c>
    </row>
    <row r="130" spans="2:13" ht="12.95" customHeight="1" x14ac:dyDescent="0.25">
      <c r="B130" s="39"/>
      <c r="C130" s="37"/>
      <c r="D130" s="28"/>
      <c r="E130" s="35"/>
      <c r="F130" s="38"/>
      <c r="G130" s="38"/>
      <c r="H130" s="40"/>
      <c r="I130" s="41" t="str">
        <f>IF($E130="","",IF(COUNTIF($K$10:$K130,$K130)&gt;1,"DUPLICATE","No"))</f>
        <v/>
      </c>
      <c r="J130" s="41" t="str">
        <f t="shared" si="4"/>
        <v/>
      </c>
      <c r="K130" s="42" t="str">
        <f t="shared" si="5"/>
        <v/>
      </c>
      <c r="L130" s="43" t="str">
        <f t="shared" si="6"/>
        <v/>
      </c>
      <c r="M130" s="44" t="str">
        <f t="shared" si="7"/>
        <v/>
      </c>
    </row>
    <row r="131" spans="2:13" ht="12.95" customHeight="1" x14ac:dyDescent="0.25">
      <c r="B131" s="39"/>
      <c r="C131" s="37"/>
      <c r="D131" s="28"/>
      <c r="E131" s="35"/>
      <c r="F131" s="38"/>
      <c r="G131" s="38"/>
      <c r="H131" s="40"/>
      <c r="I131" s="45" t="str">
        <f>IF($E131="","",IF(COUNTIF($K$10:$K131,$K131)&gt;1,"DUPLICATE","No"))</f>
        <v/>
      </c>
      <c r="J131" s="45" t="str">
        <f t="shared" si="4"/>
        <v/>
      </c>
      <c r="K131" s="46" t="str">
        <f t="shared" si="5"/>
        <v/>
      </c>
      <c r="L131" s="47" t="str">
        <f t="shared" si="6"/>
        <v/>
      </c>
      <c r="M131" s="48" t="str">
        <f t="shared" si="7"/>
        <v/>
      </c>
    </row>
    <row r="132" spans="2:13" ht="12.95" customHeight="1" x14ac:dyDescent="0.25">
      <c r="B132" s="39"/>
      <c r="C132" s="37"/>
      <c r="D132" s="28"/>
      <c r="E132" s="35"/>
      <c r="F132" s="38"/>
      <c r="G132" s="38"/>
      <c r="H132" s="40"/>
      <c r="I132" s="41" t="str">
        <f>IF($E132="","",IF(COUNTIF($K$10:$K132,$K132)&gt;1,"DUPLICATE","No"))</f>
        <v/>
      </c>
      <c r="J132" s="41" t="str">
        <f t="shared" si="4"/>
        <v/>
      </c>
      <c r="K132" s="42" t="str">
        <f t="shared" si="5"/>
        <v/>
      </c>
      <c r="L132" s="43" t="str">
        <f t="shared" si="6"/>
        <v/>
      </c>
      <c r="M132" s="44" t="str">
        <f t="shared" si="7"/>
        <v/>
      </c>
    </row>
    <row r="133" spans="2:13" ht="12.95" customHeight="1" x14ac:dyDescent="0.25">
      <c r="B133" s="39"/>
      <c r="C133" s="37"/>
      <c r="D133" s="28"/>
      <c r="E133" s="35"/>
      <c r="F133" s="38"/>
      <c r="G133" s="38"/>
      <c r="H133" s="40"/>
      <c r="I133" s="45" t="str">
        <f>IF($E133="","",IF(COUNTIF($K$10:$K133,$K133)&gt;1,"DUPLICATE","No"))</f>
        <v/>
      </c>
      <c r="J133" s="45" t="str">
        <f t="shared" si="4"/>
        <v/>
      </c>
      <c r="K133" s="46" t="str">
        <f t="shared" si="5"/>
        <v/>
      </c>
      <c r="L133" s="47" t="str">
        <f t="shared" si="6"/>
        <v/>
      </c>
      <c r="M133" s="48" t="str">
        <f t="shared" si="7"/>
        <v/>
      </c>
    </row>
    <row r="134" spans="2:13" ht="12.95" customHeight="1" x14ac:dyDescent="0.25">
      <c r="B134" s="39"/>
      <c r="C134" s="37"/>
      <c r="D134" s="28"/>
      <c r="E134" s="35"/>
      <c r="F134" s="38"/>
      <c r="G134" s="38"/>
      <c r="H134" s="40"/>
      <c r="I134" s="41" t="str">
        <f>IF($E134="","",IF(COUNTIF($K$10:$K134,$K134)&gt;1,"DUPLICATE","No"))</f>
        <v/>
      </c>
      <c r="J134" s="41" t="str">
        <f t="shared" si="4"/>
        <v/>
      </c>
      <c r="K134" s="42" t="str">
        <f t="shared" si="5"/>
        <v/>
      </c>
      <c r="L134" s="43" t="str">
        <f t="shared" si="6"/>
        <v/>
      </c>
      <c r="M134" s="44" t="str">
        <f t="shared" si="7"/>
        <v/>
      </c>
    </row>
    <row r="135" spans="2:13" ht="12.95" customHeight="1" x14ac:dyDescent="0.25">
      <c r="B135" s="39"/>
      <c r="C135" s="37"/>
      <c r="D135" s="28"/>
      <c r="E135" s="35"/>
      <c r="F135" s="38"/>
      <c r="G135" s="38"/>
      <c r="H135" s="40"/>
      <c r="I135" s="45" t="str">
        <f>IF($E135="","",IF(COUNTIF($K$10:$K135,$K135)&gt;1,"DUPLICATE","No"))</f>
        <v/>
      </c>
      <c r="J135" s="45" t="str">
        <f t="shared" si="4"/>
        <v/>
      </c>
      <c r="K135" s="46" t="str">
        <f t="shared" si="5"/>
        <v/>
      </c>
      <c r="L135" s="47" t="str">
        <f t="shared" si="6"/>
        <v/>
      </c>
      <c r="M135" s="48" t="str">
        <f t="shared" si="7"/>
        <v/>
      </c>
    </row>
    <row r="136" spans="2:13" ht="12.95" customHeight="1" x14ac:dyDescent="0.25">
      <c r="B136" s="39"/>
      <c r="C136" s="37"/>
      <c r="D136" s="28"/>
      <c r="E136" s="35"/>
      <c r="F136" s="38"/>
      <c r="G136" s="38"/>
      <c r="H136" s="40"/>
      <c r="I136" s="41" t="str">
        <f>IF($E136="","",IF(COUNTIF($K$10:$K136,$K136)&gt;1,"DUPLICATE","No"))</f>
        <v/>
      </c>
      <c r="J136" s="41" t="str">
        <f t="shared" si="4"/>
        <v/>
      </c>
      <c r="K136" s="42" t="str">
        <f t="shared" si="5"/>
        <v/>
      </c>
      <c r="L136" s="43" t="str">
        <f t="shared" si="6"/>
        <v/>
      </c>
      <c r="M136" s="44" t="str">
        <f t="shared" si="7"/>
        <v/>
      </c>
    </row>
    <row r="137" spans="2:13" ht="12.95" customHeight="1" x14ac:dyDescent="0.25">
      <c r="B137" s="39"/>
      <c r="C137" s="37"/>
      <c r="D137" s="28"/>
      <c r="E137" s="35"/>
      <c r="F137" s="38"/>
      <c r="G137" s="38"/>
      <c r="H137" s="40"/>
      <c r="I137" s="45" t="str">
        <f>IF($E137="","",IF(COUNTIF($K$10:$K137,$K137)&gt;1,"DUPLICATE","No"))</f>
        <v/>
      </c>
      <c r="J137" s="45" t="str">
        <f t="shared" si="4"/>
        <v/>
      </c>
      <c r="K137" s="46" t="str">
        <f t="shared" si="5"/>
        <v/>
      </c>
      <c r="L137" s="47" t="str">
        <f t="shared" si="6"/>
        <v/>
      </c>
      <c r="M137" s="48" t="str">
        <f t="shared" si="7"/>
        <v/>
      </c>
    </row>
    <row r="138" spans="2:13" ht="12.95" customHeight="1" x14ac:dyDescent="0.25">
      <c r="B138" s="39"/>
      <c r="C138" s="37"/>
      <c r="D138" s="28"/>
      <c r="E138" s="35"/>
      <c r="F138" s="38"/>
      <c r="G138" s="38"/>
      <c r="H138" s="40"/>
      <c r="I138" s="41" t="str">
        <f>IF($E138="","",IF(COUNTIF($K$10:$K138,$K138)&gt;1,"DUPLICATE","No"))</f>
        <v/>
      </c>
      <c r="J138" s="41" t="str">
        <f t="shared" ref="J138:J201" si="8">IF($E138="","",IF(SUMPRODUCT(--(Txn_Acct=$D138),--(Txn_Date=$C138),--(Txn_Desc=$E138),--(ROUND(Txn_In+0,2)=ROUND(N($F138),2)),--(ROUND(Txn_Out+0,2)=ROUND(N($G138),2)))&gt;0,"ALREADY IN LEDGER","No"))</f>
        <v/>
      </c>
      <c r="K138" s="42" t="str">
        <f t="shared" ref="K138:K201" si="9">IF($E138="","",UPPER(TRIM($D138))&amp;"|"&amp;TEXT($C138,"yyyy-mm-dd")&amp;"|"&amp;UPPER(TRIM($E138))&amp;"|"&amp;TEXT(ROUND(N($F138),2),"0.00")&amp;"|"&amp;TEXT(ROUND(N($G138),2),"0.00"))</f>
        <v/>
      </c>
      <c r="L138" s="43" t="str">
        <f t="shared" ref="L138:L201" si="10">IF($E138="","",TRIM(IF($D138="","Missing account. ",IF(COUNTIF(Acct_Name,$D138)=0,"Unknown account. ",""))&amp;IF($C138="","Missing date. ",IF(NOT(ISNUMBER($C138)),"Invalid date. ",IF(AND(N($F$7)&gt;0,N($H$7)&gt;0,OR($C138&lt;$F$7,$C138&gt;$H$7)),"Outside statement period. ","")))&amp;IF(AND(N($F138)&gt;0,N($G138)&gt;0),"Both Money In and Money Out populated. ","")&amp;IF(AND(N($F138)=0,N($G138)=0),"No amount. ","")&amp;IF(OR(N($F138)&lt;0,N($G138)&lt;0),"Negative amount. ","")&amp;IF($B138="","Batch ID missing on this row - fill it down from B7. ","")&amp;IF(OR($B$7="",$D$7=""),"Batch header incomplete - fill in B7 and D7. ","")&amp;IF(OR(N($F$7)=0,N($H$7)=0),"Statement period missing on the header - the date check is OFF. ","")&amp;IF(AND(N($J$7)=0,N($L$7)=0),"Statement totals missing on the header - the tie-out is OFF. ","")))</f>
        <v/>
      </c>
      <c r="M138" s="44" t="str">
        <f t="shared" ref="M138:M201" si="11">IF($E138="","",IF(AND($L138="",$I138="No",$J138="ALREADY IN LEDGER"),"POSTED",IF(AND($L138="",$I138="No",$J138="No"),"Yes","NO")))</f>
        <v/>
      </c>
    </row>
    <row r="139" spans="2:13" ht="12.95" customHeight="1" x14ac:dyDescent="0.25">
      <c r="B139" s="39"/>
      <c r="C139" s="37"/>
      <c r="D139" s="28"/>
      <c r="E139" s="35"/>
      <c r="F139" s="38"/>
      <c r="G139" s="38"/>
      <c r="H139" s="40"/>
      <c r="I139" s="45" t="str">
        <f>IF($E139="","",IF(COUNTIF($K$10:$K139,$K139)&gt;1,"DUPLICATE","No"))</f>
        <v/>
      </c>
      <c r="J139" s="45" t="str">
        <f t="shared" si="8"/>
        <v/>
      </c>
      <c r="K139" s="46" t="str">
        <f t="shared" si="9"/>
        <v/>
      </c>
      <c r="L139" s="47" t="str">
        <f t="shared" si="10"/>
        <v/>
      </c>
      <c r="M139" s="48" t="str">
        <f t="shared" si="11"/>
        <v/>
      </c>
    </row>
    <row r="140" spans="2:13" ht="12.95" customHeight="1" x14ac:dyDescent="0.25">
      <c r="B140" s="39"/>
      <c r="C140" s="37"/>
      <c r="D140" s="28"/>
      <c r="E140" s="35"/>
      <c r="F140" s="38"/>
      <c r="G140" s="38"/>
      <c r="H140" s="40"/>
      <c r="I140" s="41" t="str">
        <f>IF($E140="","",IF(COUNTIF($K$10:$K140,$K140)&gt;1,"DUPLICATE","No"))</f>
        <v/>
      </c>
      <c r="J140" s="41" t="str">
        <f t="shared" si="8"/>
        <v/>
      </c>
      <c r="K140" s="42" t="str">
        <f t="shared" si="9"/>
        <v/>
      </c>
      <c r="L140" s="43" t="str">
        <f t="shared" si="10"/>
        <v/>
      </c>
      <c r="M140" s="44" t="str">
        <f t="shared" si="11"/>
        <v/>
      </c>
    </row>
    <row r="141" spans="2:13" ht="12.95" customHeight="1" x14ac:dyDescent="0.25">
      <c r="B141" s="39"/>
      <c r="C141" s="37"/>
      <c r="D141" s="28"/>
      <c r="E141" s="35"/>
      <c r="F141" s="38"/>
      <c r="G141" s="38"/>
      <c r="H141" s="40"/>
      <c r="I141" s="45" t="str">
        <f>IF($E141="","",IF(COUNTIF($K$10:$K141,$K141)&gt;1,"DUPLICATE","No"))</f>
        <v/>
      </c>
      <c r="J141" s="45" t="str">
        <f t="shared" si="8"/>
        <v/>
      </c>
      <c r="K141" s="46" t="str">
        <f t="shared" si="9"/>
        <v/>
      </c>
      <c r="L141" s="47" t="str">
        <f t="shared" si="10"/>
        <v/>
      </c>
      <c r="M141" s="48" t="str">
        <f t="shared" si="11"/>
        <v/>
      </c>
    </row>
    <row r="142" spans="2:13" ht="12.95" customHeight="1" x14ac:dyDescent="0.25">
      <c r="B142" s="39"/>
      <c r="C142" s="37"/>
      <c r="D142" s="28"/>
      <c r="E142" s="35"/>
      <c r="F142" s="38"/>
      <c r="G142" s="38"/>
      <c r="H142" s="40"/>
      <c r="I142" s="41" t="str">
        <f>IF($E142="","",IF(COUNTIF($K$10:$K142,$K142)&gt;1,"DUPLICATE","No"))</f>
        <v/>
      </c>
      <c r="J142" s="41" t="str">
        <f t="shared" si="8"/>
        <v/>
      </c>
      <c r="K142" s="42" t="str">
        <f t="shared" si="9"/>
        <v/>
      </c>
      <c r="L142" s="43" t="str">
        <f t="shared" si="10"/>
        <v/>
      </c>
      <c r="M142" s="44" t="str">
        <f t="shared" si="11"/>
        <v/>
      </c>
    </row>
    <row r="143" spans="2:13" ht="12.95" customHeight="1" x14ac:dyDescent="0.25">
      <c r="B143" s="39"/>
      <c r="C143" s="37"/>
      <c r="D143" s="28"/>
      <c r="E143" s="35"/>
      <c r="F143" s="38"/>
      <c r="G143" s="38"/>
      <c r="H143" s="40"/>
      <c r="I143" s="45" t="str">
        <f>IF($E143="","",IF(COUNTIF($K$10:$K143,$K143)&gt;1,"DUPLICATE","No"))</f>
        <v/>
      </c>
      <c r="J143" s="45" t="str">
        <f t="shared" si="8"/>
        <v/>
      </c>
      <c r="K143" s="46" t="str">
        <f t="shared" si="9"/>
        <v/>
      </c>
      <c r="L143" s="47" t="str">
        <f t="shared" si="10"/>
        <v/>
      </c>
      <c r="M143" s="48" t="str">
        <f t="shared" si="11"/>
        <v/>
      </c>
    </row>
    <row r="144" spans="2:13" ht="12.95" customHeight="1" x14ac:dyDescent="0.25">
      <c r="B144" s="39"/>
      <c r="C144" s="37"/>
      <c r="D144" s="28"/>
      <c r="E144" s="35"/>
      <c r="F144" s="38"/>
      <c r="G144" s="38"/>
      <c r="H144" s="40"/>
      <c r="I144" s="41" t="str">
        <f>IF($E144="","",IF(COUNTIF($K$10:$K144,$K144)&gt;1,"DUPLICATE","No"))</f>
        <v/>
      </c>
      <c r="J144" s="41" t="str">
        <f t="shared" si="8"/>
        <v/>
      </c>
      <c r="K144" s="42" t="str">
        <f t="shared" si="9"/>
        <v/>
      </c>
      <c r="L144" s="43" t="str">
        <f t="shared" si="10"/>
        <v/>
      </c>
      <c r="M144" s="44" t="str">
        <f t="shared" si="11"/>
        <v/>
      </c>
    </row>
    <row r="145" spans="2:13" ht="12.95" customHeight="1" x14ac:dyDescent="0.25">
      <c r="B145" s="39"/>
      <c r="C145" s="37"/>
      <c r="D145" s="28"/>
      <c r="E145" s="35"/>
      <c r="F145" s="38"/>
      <c r="G145" s="38"/>
      <c r="H145" s="40"/>
      <c r="I145" s="45" t="str">
        <f>IF($E145="","",IF(COUNTIF($K$10:$K145,$K145)&gt;1,"DUPLICATE","No"))</f>
        <v/>
      </c>
      <c r="J145" s="45" t="str">
        <f t="shared" si="8"/>
        <v/>
      </c>
      <c r="K145" s="46" t="str">
        <f t="shared" si="9"/>
        <v/>
      </c>
      <c r="L145" s="47" t="str">
        <f t="shared" si="10"/>
        <v/>
      </c>
      <c r="M145" s="48" t="str">
        <f t="shared" si="11"/>
        <v/>
      </c>
    </row>
    <row r="146" spans="2:13" ht="12.95" customHeight="1" x14ac:dyDescent="0.25">
      <c r="B146" s="39"/>
      <c r="C146" s="37"/>
      <c r="D146" s="28"/>
      <c r="E146" s="35"/>
      <c r="F146" s="38"/>
      <c r="G146" s="38"/>
      <c r="H146" s="40"/>
      <c r="I146" s="41" t="str">
        <f>IF($E146="","",IF(COUNTIF($K$10:$K146,$K146)&gt;1,"DUPLICATE","No"))</f>
        <v/>
      </c>
      <c r="J146" s="41" t="str">
        <f t="shared" si="8"/>
        <v/>
      </c>
      <c r="K146" s="42" t="str">
        <f t="shared" si="9"/>
        <v/>
      </c>
      <c r="L146" s="43" t="str">
        <f t="shared" si="10"/>
        <v/>
      </c>
      <c r="M146" s="44" t="str">
        <f t="shared" si="11"/>
        <v/>
      </c>
    </row>
    <row r="147" spans="2:13" ht="12.95" customHeight="1" x14ac:dyDescent="0.25">
      <c r="B147" s="39"/>
      <c r="C147" s="37"/>
      <c r="D147" s="28"/>
      <c r="E147" s="35"/>
      <c r="F147" s="38"/>
      <c r="G147" s="38"/>
      <c r="H147" s="40"/>
      <c r="I147" s="45" t="str">
        <f>IF($E147="","",IF(COUNTIF($K$10:$K147,$K147)&gt;1,"DUPLICATE","No"))</f>
        <v/>
      </c>
      <c r="J147" s="45" t="str">
        <f t="shared" si="8"/>
        <v/>
      </c>
      <c r="K147" s="46" t="str">
        <f t="shared" si="9"/>
        <v/>
      </c>
      <c r="L147" s="47" t="str">
        <f t="shared" si="10"/>
        <v/>
      </c>
      <c r="M147" s="48" t="str">
        <f t="shared" si="11"/>
        <v/>
      </c>
    </row>
    <row r="148" spans="2:13" ht="12.95" customHeight="1" x14ac:dyDescent="0.25">
      <c r="B148" s="39"/>
      <c r="C148" s="37"/>
      <c r="D148" s="28"/>
      <c r="E148" s="35"/>
      <c r="F148" s="38"/>
      <c r="G148" s="38"/>
      <c r="H148" s="40"/>
      <c r="I148" s="41" t="str">
        <f>IF($E148="","",IF(COUNTIF($K$10:$K148,$K148)&gt;1,"DUPLICATE","No"))</f>
        <v/>
      </c>
      <c r="J148" s="41" t="str">
        <f t="shared" si="8"/>
        <v/>
      </c>
      <c r="K148" s="42" t="str">
        <f t="shared" si="9"/>
        <v/>
      </c>
      <c r="L148" s="43" t="str">
        <f t="shared" si="10"/>
        <v/>
      </c>
      <c r="M148" s="44" t="str">
        <f t="shared" si="11"/>
        <v/>
      </c>
    </row>
    <row r="149" spans="2:13" ht="12.95" customHeight="1" x14ac:dyDescent="0.25">
      <c r="B149" s="39"/>
      <c r="C149" s="37"/>
      <c r="D149" s="28"/>
      <c r="E149" s="35"/>
      <c r="F149" s="38"/>
      <c r="G149" s="38"/>
      <c r="H149" s="40"/>
      <c r="I149" s="45" t="str">
        <f>IF($E149="","",IF(COUNTIF($K$10:$K149,$K149)&gt;1,"DUPLICATE","No"))</f>
        <v/>
      </c>
      <c r="J149" s="45" t="str">
        <f t="shared" si="8"/>
        <v/>
      </c>
      <c r="K149" s="46" t="str">
        <f t="shared" si="9"/>
        <v/>
      </c>
      <c r="L149" s="47" t="str">
        <f t="shared" si="10"/>
        <v/>
      </c>
      <c r="M149" s="48" t="str">
        <f t="shared" si="11"/>
        <v/>
      </c>
    </row>
    <row r="150" spans="2:13" ht="12.95" customHeight="1" x14ac:dyDescent="0.25">
      <c r="B150" s="39"/>
      <c r="C150" s="37"/>
      <c r="D150" s="28"/>
      <c r="E150" s="35"/>
      <c r="F150" s="38"/>
      <c r="G150" s="38"/>
      <c r="H150" s="40"/>
      <c r="I150" s="41" t="str">
        <f>IF($E150="","",IF(COUNTIF($K$10:$K150,$K150)&gt;1,"DUPLICATE","No"))</f>
        <v/>
      </c>
      <c r="J150" s="41" t="str">
        <f t="shared" si="8"/>
        <v/>
      </c>
      <c r="K150" s="42" t="str">
        <f t="shared" si="9"/>
        <v/>
      </c>
      <c r="L150" s="43" t="str">
        <f t="shared" si="10"/>
        <v/>
      </c>
      <c r="M150" s="44" t="str">
        <f t="shared" si="11"/>
        <v/>
      </c>
    </row>
    <row r="151" spans="2:13" ht="12.95" customHeight="1" x14ac:dyDescent="0.25">
      <c r="B151" s="39"/>
      <c r="C151" s="37"/>
      <c r="D151" s="28"/>
      <c r="E151" s="35"/>
      <c r="F151" s="38"/>
      <c r="G151" s="38"/>
      <c r="H151" s="40"/>
      <c r="I151" s="45" t="str">
        <f>IF($E151="","",IF(COUNTIF($K$10:$K151,$K151)&gt;1,"DUPLICATE","No"))</f>
        <v/>
      </c>
      <c r="J151" s="45" t="str">
        <f t="shared" si="8"/>
        <v/>
      </c>
      <c r="K151" s="46" t="str">
        <f t="shared" si="9"/>
        <v/>
      </c>
      <c r="L151" s="47" t="str">
        <f t="shared" si="10"/>
        <v/>
      </c>
      <c r="M151" s="48" t="str">
        <f t="shared" si="11"/>
        <v/>
      </c>
    </row>
    <row r="152" spans="2:13" ht="12.95" customHeight="1" x14ac:dyDescent="0.25">
      <c r="B152" s="39"/>
      <c r="C152" s="37"/>
      <c r="D152" s="28"/>
      <c r="E152" s="35"/>
      <c r="F152" s="38"/>
      <c r="G152" s="38"/>
      <c r="H152" s="40"/>
      <c r="I152" s="41" t="str">
        <f>IF($E152="","",IF(COUNTIF($K$10:$K152,$K152)&gt;1,"DUPLICATE","No"))</f>
        <v/>
      </c>
      <c r="J152" s="41" t="str">
        <f t="shared" si="8"/>
        <v/>
      </c>
      <c r="K152" s="42" t="str">
        <f t="shared" si="9"/>
        <v/>
      </c>
      <c r="L152" s="43" t="str">
        <f t="shared" si="10"/>
        <v/>
      </c>
      <c r="M152" s="44" t="str">
        <f t="shared" si="11"/>
        <v/>
      </c>
    </row>
    <row r="153" spans="2:13" ht="12.95" customHeight="1" x14ac:dyDescent="0.25">
      <c r="B153" s="39"/>
      <c r="C153" s="37"/>
      <c r="D153" s="28"/>
      <c r="E153" s="35"/>
      <c r="F153" s="38"/>
      <c r="G153" s="38"/>
      <c r="H153" s="40"/>
      <c r="I153" s="45" t="str">
        <f>IF($E153="","",IF(COUNTIF($K$10:$K153,$K153)&gt;1,"DUPLICATE","No"))</f>
        <v/>
      </c>
      <c r="J153" s="45" t="str">
        <f t="shared" si="8"/>
        <v/>
      </c>
      <c r="K153" s="46" t="str">
        <f t="shared" si="9"/>
        <v/>
      </c>
      <c r="L153" s="47" t="str">
        <f t="shared" si="10"/>
        <v/>
      </c>
      <c r="M153" s="48" t="str">
        <f t="shared" si="11"/>
        <v/>
      </c>
    </row>
    <row r="154" spans="2:13" ht="12.95" customHeight="1" x14ac:dyDescent="0.25">
      <c r="B154" s="39"/>
      <c r="C154" s="37"/>
      <c r="D154" s="28"/>
      <c r="E154" s="35"/>
      <c r="F154" s="38"/>
      <c r="G154" s="38"/>
      <c r="H154" s="40"/>
      <c r="I154" s="41" t="str">
        <f>IF($E154="","",IF(COUNTIF($K$10:$K154,$K154)&gt;1,"DUPLICATE","No"))</f>
        <v/>
      </c>
      <c r="J154" s="41" t="str">
        <f t="shared" si="8"/>
        <v/>
      </c>
      <c r="K154" s="42" t="str">
        <f t="shared" si="9"/>
        <v/>
      </c>
      <c r="L154" s="43" t="str">
        <f t="shared" si="10"/>
        <v/>
      </c>
      <c r="M154" s="44" t="str">
        <f t="shared" si="11"/>
        <v/>
      </c>
    </row>
    <row r="155" spans="2:13" ht="12.95" customHeight="1" x14ac:dyDescent="0.25">
      <c r="B155" s="39"/>
      <c r="C155" s="37"/>
      <c r="D155" s="28"/>
      <c r="E155" s="35"/>
      <c r="F155" s="38"/>
      <c r="G155" s="38"/>
      <c r="H155" s="40"/>
      <c r="I155" s="45" t="str">
        <f>IF($E155="","",IF(COUNTIF($K$10:$K155,$K155)&gt;1,"DUPLICATE","No"))</f>
        <v/>
      </c>
      <c r="J155" s="45" t="str">
        <f t="shared" si="8"/>
        <v/>
      </c>
      <c r="K155" s="46" t="str">
        <f t="shared" si="9"/>
        <v/>
      </c>
      <c r="L155" s="47" t="str">
        <f t="shared" si="10"/>
        <v/>
      </c>
      <c r="M155" s="48" t="str">
        <f t="shared" si="11"/>
        <v/>
      </c>
    </row>
    <row r="156" spans="2:13" ht="12.95" customHeight="1" x14ac:dyDescent="0.25">
      <c r="B156" s="39"/>
      <c r="C156" s="37"/>
      <c r="D156" s="28"/>
      <c r="E156" s="35"/>
      <c r="F156" s="38"/>
      <c r="G156" s="38"/>
      <c r="H156" s="40"/>
      <c r="I156" s="41" t="str">
        <f>IF($E156="","",IF(COUNTIF($K$10:$K156,$K156)&gt;1,"DUPLICATE","No"))</f>
        <v/>
      </c>
      <c r="J156" s="41" t="str">
        <f t="shared" si="8"/>
        <v/>
      </c>
      <c r="K156" s="42" t="str">
        <f t="shared" si="9"/>
        <v/>
      </c>
      <c r="L156" s="43" t="str">
        <f t="shared" si="10"/>
        <v/>
      </c>
      <c r="M156" s="44" t="str">
        <f t="shared" si="11"/>
        <v/>
      </c>
    </row>
    <row r="157" spans="2:13" ht="12.95" customHeight="1" x14ac:dyDescent="0.25">
      <c r="B157" s="39"/>
      <c r="C157" s="37"/>
      <c r="D157" s="28"/>
      <c r="E157" s="35"/>
      <c r="F157" s="38"/>
      <c r="G157" s="38"/>
      <c r="H157" s="40"/>
      <c r="I157" s="45" t="str">
        <f>IF($E157="","",IF(COUNTIF($K$10:$K157,$K157)&gt;1,"DUPLICATE","No"))</f>
        <v/>
      </c>
      <c r="J157" s="45" t="str">
        <f t="shared" si="8"/>
        <v/>
      </c>
      <c r="K157" s="46" t="str">
        <f t="shared" si="9"/>
        <v/>
      </c>
      <c r="L157" s="47" t="str">
        <f t="shared" si="10"/>
        <v/>
      </c>
      <c r="M157" s="48" t="str">
        <f t="shared" si="11"/>
        <v/>
      </c>
    </row>
    <row r="158" spans="2:13" ht="12.95" customHeight="1" x14ac:dyDescent="0.25">
      <c r="B158" s="39"/>
      <c r="C158" s="37"/>
      <c r="D158" s="28"/>
      <c r="E158" s="35"/>
      <c r="F158" s="38"/>
      <c r="G158" s="38"/>
      <c r="H158" s="40"/>
      <c r="I158" s="41" t="str">
        <f>IF($E158="","",IF(COUNTIF($K$10:$K158,$K158)&gt;1,"DUPLICATE","No"))</f>
        <v/>
      </c>
      <c r="J158" s="41" t="str">
        <f t="shared" si="8"/>
        <v/>
      </c>
      <c r="K158" s="42" t="str">
        <f t="shared" si="9"/>
        <v/>
      </c>
      <c r="L158" s="43" t="str">
        <f t="shared" si="10"/>
        <v/>
      </c>
      <c r="M158" s="44" t="str">
        <f t="shared" si="11"/>
        <v/>
      </c>
    </row>
    <row r="159" spans="2:13" ht="12.95" customHeight="1" x14ac:dyDescent="0.25">
      <c r="B159" s="39"/>
      <c r="C159" s="37"/>
      <c r="D159" s="28"/>
      <c r="E159" s="35"/>
      <c r="F159" s="38"/>
      <c r="G159" s="38"/>
      <c r="H159" s="40"/>
      <c r="I159" s="45" t="str">
        <f>IF($E159="","",IF(COUNTIF($K$10:$K159,$K159)&gt;1,"DUPLICATE","No"))</f>
        <v/>
      </c>
      <c r="J159" s="45" t="str">
        <f t="shared" si="8"/>
        <v/>
      </c>
      <c r="K159" s="46" t="str">
        <f t="shared" si="9"/>
        <v/>
      </c>
      <c r="L159" s="47" t="str">
        <f t="shared" si="10"/>
        <v/>
      </c>
      <c r="M159" s="48" t="str">
        <f t="shared" si="11"/>
        <v/>
      </c>
    </row>
    <row r="160" spans="2:13" ht="12.95" customHeight="1" x14ac:dyDescent="0.25">
      <c r="B160" s="39"/>
      <c r="C160" s="37"/>
      <c r="D160" s="28"/>
      <c r="E160" s="35"/>
      <c r="F160" s="38"/>
      <c r="G160" s="38"/>
      <c r="H160" s="40"/>
      <c r="I160" s="41" t="str">
        <f>IF($E160="","",IF(COUNTIF($K$10:$K160,$K160)&gt;1,"DUPLICATE","No"))</f>
        <v/>
      </c>
      <c r="J160" s="41" t="str">
        <f t="shared" si="8"/>
        <v/>
      </c>
      <c r="K160" s="42" t="str">
        <f t="shared" si="9"/>
        <v/>
      </c>
      <c r="L160" s="43" t="str">
        <f t="shared" si="10"/>
        <v/>
      </c>
      <c r="M160" s="44" t="str">
        <f t="shared" si="11"/>
        <v/>
      </c>
    </row>
    <row r="161" spans="2:13" ht="12.95" customHeight="1" x14ac:dyDescent="0.25">
      <c r="B161" s="39"/>
      <c r="C161" s="37"/>
      <c r="D161" s="28"/>
      <c r="E161" s="35"/>
      <c r="F161" s="38"/>
      <c r="G161" s="38"/>
      <c r="H161" s="40"/>
      <c r="I161" s="45" t="str">
        <f>IF($E161="","",IF(COUNTIF($K$10:$K161,$K161)&gt;1,"DUPLICATE","No"))</f>
        <v/>
      </c>
      <c r="J161" s="45" t="str">
        <f t="shared" si="8"/>
        <v/>
      </c>
      <c r="K161" s="46" t="str">
        <f t="shared" si="9"/>
        <v/>
      </c>
      <c r="L161" s="47" t="str">
        <f t="shared" si="10"/>
        <v/>
      </c>
      <c r="M161" s="48" t="str">
        <f t="shared" si="11"/>
        <v/>
      </c>
    </row>
    <row r="162" spans="2:13" ht="12.95" customHeight="1" x14ac:dyDescent="0.25">
      <c r="B162" s="39"/>
      <c r="C162" s="37"/>
      <c r="D162" s="28"/>
      <c r="E162" s="35"/>
      <c r="F162" s="38"/>
      <c r="G162" s="38"/>
      <c r="H162" s="40"/>
      <c r="I162" s="41" t="str">
        <f>IF($E162="","",IF(COUNTIF($K$10:$K162,$K162)&gt;1,"DUPLICATE","No"))</f>
        <v/>
      </c>
      <c r="J162" s="41" t="str">
        <f t="shared" si="8"/>
        <v/>
      </c>
      <c r="K162" s="42" t="str">
        <f t="shared" si="9"/>
        <v/>
      </c>
      <c r="L162" s="43" t="str">
        <f t="shared" si="10"/>
        <v/>
      </c>
      <c r="M162" s="44" t="str">
        <f t="shared" si="11"/>
        <v/>
      </c>
    </row>
    <row r="163" spans="2:13" ht="12.95" customHeight="1" x14ac:dyDescent="0.25">
      <c r="B163" s="39"/>
      <c r="C163" s="37"/>
      <c r="D163" s="28"/>
      <c r="E163" s="35"/>
      <c r="F163" s="38"/>
      <c r="G163" s="38"/>
      <c r="H163" s="40"/>
      <c r="I163" s="45" t="str">
        <f>IF($E163="","",IF(COUNTIF($K$10:$K163,$K163)&gt;1,"DUPLICATE","No"))</f>
        <v/>
      </c>
      <c r="J163" s="45" t="str">
        <f t="shared" si="8"/>
        <v/>
      </c>
      <c r="K163" s="46" t="str">
        <f t="shared" si="9"/>
        <v/>
      </c>
      <c r="L163" s="47" t="str">
        <f t="shared" si="10"/>
        <v/>
      </c>
      <c r="M163" s="48" t="str">
        <f t="shared" si="11"/>
        <v/>
      </c>
    </row>
    <row r="164" spans="2:13" ht="12.95" customHeight="1" x14ac:dyDescent="0.25">
      <c r="B164" s="39"/>
      <c r="C164" s="37"/>
      <c r="D164" s="28"/>
      <c r="E164" s="35"/>
      <c r="F164" s="38"/>
      <c r="G164" s="38"/>
      <c r="H164" s="40"/>
      <c r="I164" s="41" t="str">
        <f>IF($E164="","",IF(COUNTIF($K$10:$K164,$K164)&gt;1,"DUPLICATE","No"))</f>
        <v/>
      </c>
      <c r="J164" s="41" t="str">
        <f t="shared" si="8"/>
        <v/>
      </c>
      <c r="K164" s="42" t="str">
        <f t="shared" si="9"/>
        <v/>
      </c>
      <c r="L164" s="43" t="str">
        <f t="shared" si="10"/>
        <v/>
      </c>
      <c r="M164" s="44" t="str">
        <f t="shared" si="11"/>
        <v/>
      </c>
    </row>
    <row r="165" spans="2:13" ht="12.95" customHeight="1" x14ac:dyDescent="0.25">
      <c r="B165" s="39"/>
      <c r="C165" s="37"/>
      <c r="D165" s="28"/>
      <c r="E165" s="35"/>
      <c r="F165" s="38"/>
      <c r="G165" s="38"/>
      <c r="H165" s="40"/>
      <c r="I165" s="45" t="str">
        <f>IF($E165="","",IF(COUNTIF($K$10:$K165,$K165)&gt;1,"DUPLICATE","No"))</f>
        <v/>
      </c>
      <c r="J165" s="45" t="str">
        <f t="shared" si="8"/>
        <v/>
      </c>
      <c r="K165" s="46" t="str">
        <f t="shared" si="9"/>
        <v/>
      </c>
      <c r="L165" s="47" t="str">
        <f t="shared" si="10"/>
        <v/>
      </c>
      <c r="M165" s="48" t="str">
        <f t="shared" si="11"/>
        <v/>
      </c>
    </row>
    <row r="166" spans="2:13" ht="12.95" customHeight="1" x14ac:dyDescent="0.25">
      <c r="B166" s="39"/>
      <c r="C166" s="37"/>
      <c r="D166" s="28"/>
      <c r="E166" s="35"/>
      <c r="F166" s="38"/>
      <c r="G166" s="38"/>
      <c r="H166" s="40"/>
      <c r="I166" s="41" t="str">
        <f>IF($E166="","",IF(COUNTIF($K$10:$K166,$K166)&gt;1,"DUPLICATE","No"))</f>
        <v/>
      </c>
      <c r="J166" s="41" t="str">
        <f t="shared" si="8"/>
        <v/>
      </c>
      <c r="K166" s="42" t="str">
        <f t="shared" si="9"/>
        <v/>
      </c>
      <c r="L166" s="43" t="str">
        <f t="shared" si="10"/>
        <v/>
      </c>
      <c r="M166" s="44" t="str">
        <f t="shared" si="11"/>
        <v/>
      </c>
    </row>
    <row r="167" spans="2:13" ht="12.95" customHeight="1" x14ac:dyDescent="0.25">
      <c r="B167" s="39"/>
      <c r="C167" s="37"/>
      <c r="D167" s="28"/>
      <c r="E167" s="35"/>
      <c r="F167" s="38"/>
      <c r="G167" s="38"/>
      <c r="H167" s="40"/>
      <c r="I167" s="45" t="str">
        <f>IF($E167="","",IF(COUNTIF($K$10:$K167,$K167)&gt;1,"DUPLICATE","No"))</f>
        <v/>
      </c>
      <c r="J167" s="45" t="str">
        <f t="shared" si="8"/>
        <v/>
      </c>
      <c r="K167" s="46" t="str">
        <f t="shared" si="9"/>
        <v/>
      </c>
      <c r="L167" s="47" t="str">
        <f t="shared" si="10"/>
        <v/>
      </c>
      <c r="M167" s="48" t="str">
        <f t="shared" si="11"/>
        <v/>
      </c>
    </row>
    <row r="168" spans="2:13" ht="12.95" customHeight="1" x14ac:dyDescent="0.25">
      <c r="B168" s="39"/>
      <c r="C168" s="37"/>
      <c r="D168" s="28"/>
      <c r="E168" s="35"/>
      <c r="F168" s="38"/>
      <c r="G168" s="38"/>
      <c r="H168" s="40"/>
      <c r="I168" s="41" t="str">
        <f>IF($E168="","",IF(COUNTIF($K$10:$K168,$K168)&gt;1,"DUPLICATE","No"))</f>
        <v/>
      </c>
      <c r="J168" s="41" t="str">
        <f t="shared" si="8"/>
        <v/>
      </c>
      <c r="K168" s="42" t="str">
        <f t="shared" si="9"/>
        <v/>
      </c>
      <c r="L168" s="43" t="str">
        <f t="shared" si="10"/>
        <v/>
      </c>
      <c r="M168" s="44" t="str">
        <f t="shared" si="11"/>
        <v/>
      </c>
    </row>
    <row r="169" spans="2:13" ht="12.95" customHeight="1" x14ac:dyDescent="0.25">
      <c r="B169" s="39"/>
      <c r="C169" s="37"/>
      <c r="D169" s="28"/>
      <c r="E169" s="35"/>
      <c r="F169" s="38"/>
      <c r="G169" s="38"/>
      <c r="H169" s="40"/>
      <c r="I169" s="45" t="str">
        <f>IF($E169="","",IF(COUNTIF($K$10:$K169,$K169)&gt;1,"DUPLICATE","No"))</f>
        <v/>
      </c>
      <c r="J169" s="45" t="str">
        <f t="shared" si="8"/>
        <v/>
      </c>
      <c r="K169" s="46" t="str">
        <f t="shared" si="9"/>
        <v/>
      </c>
      <c r="L169" s="47" t="str">
        <f t="shared" si="10"/>
        <v/>
      </c>
      <c r="M169" s="48" t="str">
        <f t="shared" si="11"/>
        <v/>
      </c>
    </row>
    <row r="170" spans="2:13" ht="12.95" customHeight="1" x14ac:dyDescent="0.25">
      <c r="B170" s="39"/>
      <c r="C170" s="37"/>
      <c r="D170" s="28"/>
      <c r="E170" s="35"/>
      <c r="F170" s="38"/>
      <c r="G170" s="38"/>
      <c r="H170" s="40"/>
      <c r="I170" s="41" t="str">
        <f>IF($E170="","",IF(COUNTIF($K$10:$K170,$K170)&gt;1,"DUPLICATE","No"))</f>
        <v/>
      </c>
      <c r="J170" s="41" t="str">
        <f t="shared" si="8"/>
        <v/>
      </c>
      <c r="K170" s="42" t="str">
        <f t="shared" si="9"/>
        <v/>
      </c>
      <c r="L170" s="43" t="str">
        <f t="shared" si="10"/>
        <v/>
      </c>
      <c r="M170" s="44" t="str">
        <f t="shared" si="11"/>
        <v/>
      </c>
    </row>
    <row r="171" spans="2:13" ht="12.95" customHeight="1" x14ac:dyDescent="0.25">
      <c r="B171" s="39"/>
      <c r="C171" s="37"/>
      <c r="D171" s="28"/>
      <c r="E171" s="35"/>
      <c r="F171" s="38"/>
      <c r="G171" s="38"/>
      <c r="H171" s="40"/>
      <c r="I171" s="45" t="str">
        <f>IF($E171="","",IF(COUNTIF($K$10:$K171,$K171)&gt;1,"DUPLICATE","No"))</f>
        <v/>
      </c>
      <c r="J171" s="45" t="str">
        <f t="shared" si="8"/>
        <v/>
      </c>
      <c r="K171" s="46" t="str">
        <f t="shared" si="9"/>
        <v/>
      </c>
      <c r="L171" s="47" t="str">
        <f t="shared" si="10"/>
        <v/>
      </c>
      <c r="M171" s="48" t="str">
        <f t="shared" si="11"/>
        <v/>
      </c>
    </row>
    <row r="172" spans="2:13" ht="12.95" customHeight="1" x14ac:dyDescent="0.25">
      <c r="B172" s="39"/>
      <c r="C172" s="37"/>
      <c r="D172" s="28"/>
      <c r="E172" s="35"/>
      <c r="F172" s="38"/>
      <c r="G172" s="38"/>
      <c r="H172" s="40"/>
      <c r="I172" s="41" t="str">
        <f>IF($E172="","",IF(COUNTIF($K$10:$K172,$K172)&gt;1,"DUPLICATE","No"))</f>
        <v/>
      </c>
      <c r="J172" s="41" t="str">
        <f t="shared" si="8"/>
        <v/>
      </c>
      <c r="K172" s="42" t="str">
        <f t="shared" si="9"/>
        <v/>
      </c>
      <c r="L172" s="43" t="str">
        <f t="shared" si="10"/>
        <v/>
      </c>
      <c r="M172" s="44" t="str">
        <f t="shared" si="11"/>
        <v/>
      </c>
    </row>
    <row r="173" spans="2:13" ht="12.95" customHeight="1" x14ac:dyDescent="0.25">
      <c r="B173" s="39"/>
      <c r="C173" s="37"/>
      <c r="D173" s="28"/>
      <c r="E173" s="35"/>
      <c r="F173" s="38"/>
      <c r="G173" s="38"/>
      <c r="H173" s="40"/>
      <c r="I173" s="45" t="str">
        <f>IF($E173="","",IF(COUNTIF($K$10:$K173,$K173)&gt;1,"DUPLICATE","No"))</f>
        <v/>
      </c>
      <c r="J173" s="45" t="str">
        <f t="shared" si="8"/>
        <v/>
      </c>
      <c r="K173" s="46" t="str">
        <f t="shared" si="9"/>
        <v/>
      </c>
      <c r="L173" s="47" t="str">
        <f t="shared" si="10"/>
        <v/>
      </c>
      <c r="M173" s="48" t="str">
        <f t="shared" si="11"/>
        <v/>
      </c>
    </row>
    <row r="174" spans="2:13" ht="12.95" customHeight="1" x14ac:dyDescent="0.25">
      <c r="B174" s="39"/>
      <c r="C174" s="37"/>
      <c r="D174" s="28"/>
      <c r="E174" s="35"/>
      <c r="F174" s="38"/>
      <c r="G174" s="38"/>
      <c r="H174" s="40"/>
      <c r="I174" s="41" t="str">
        <f>IF($E174="","",IF(COUNTIF($K$10:$K174,$K174)&gt;1,"DUPLICATE","No"))</f>
        <v/>
      </c>
      <c r="J174" s="41" t="str">
        <f t="shared" si="8"/>
        <v/>
      </c>
      <c r="K174" s="42" t="str">
        <f t="shared" si="9"/>
        <v/>
      </c>
      <c r="L174" s="43" t="str">
        <f t="shared" si="10"/>
        <v/>
      </c>
      <c r="M174" s="44" t="str">
        <f t="shared" si="11"/>
        <v/>
      </c>
    </row>
    <row r="175" spans="2:13" ht="12.95" customHeight="1" x14ac:dyDescent="0.25">
      <c r="B175" s="39"/>
      <c r="C175" s="37"/>
      <c r="D175" s="28"/>
      <c r="E175" s="35"/>
      <c r="F175" s="38"/>
      <c r="G175" s="38"/>
      <c r="H175" s="40"/>
      <c r="I175" s="45" t="str">
        <f>IF($E175="","",IF(COUNTIF($K$10:$K175,$K175)&gt;1,"DUPLICATE","No"))</f>
        <v/>
      </c>
      <c r="J175" s="45" t="str">
        <f t="shared" si="8"/>
        <v/>
      </c>
      <c r="K175" s="46" t="str">
        <f t="shared" si="9"/>
        <v/>
      </c>
      <c r="L175" s="47" t="str">
        <f t="shared" si="10"/>
        <v/>
      </c>
      <c r="M175" s="48" t="str">
        <f t="shared" si="11"/>
        <v/>
      </c>
    </row>
    <row r="176" spans="2:13" ht="12.95" customHeight="1" x14ac:dyDescent="0.25">
      <c r="B176" s="39"/>
      <c r="C176" s="37"/>
      <c r="D176" s="28"/>
      <c r="E176" s="35"/>
      <c r="F176" s="38"/>
      <c r="G176" s="38"/>
      <c r="H176" s="40"/>
      <c r="I176" s="41" t="str">
        <f>IF($E176="","",IF(COUNTIF($K$10:$K176,$K176)&gt;1,"DUPLICATE","No"))</f>
        <v/>
      </c>
      <c r="J176" s="41" t="str">
        <f t="shared" si="8"/>
        <v/>
      </c>
      <c r="K176" s="42" t="str">
        <f t="shared" si="9"/>
        <v/>
      </c>
      <c r="L176" s="43" t="str">
        <f t="shared" si="10"/>
        <v/>
      </c>
      <c r="M176" s="44" t="str">
        <f t="shared" si="11"/>
        <v/>
      </c>
    </row>
    <row r="177" spans="2:13" ht="12.95" customHeight="1" x14ac:dyDescent="0.25">
      <c r="B177" s="39"/>
      <c r="C177" s="37"/>
      <c r="D177" s="28"/>
      <c r="E177" s="35"/>
      <c r="F177" s="38"/>
      <c r="G177" s="38"/>
      <c r="H177" s="40"/>
      <c r="I177" s="45" t="str">
        <f>IF($E177="","",IF(COUNTIF($K$10:$K177,$K177)&gt;1,"DUPLICATE","No"))</f>
        <v/>
      </c>
      <c r="J177" s="45" t="str">
        <f t="shared" si="8"/>
        <v/>
      </c>
      <c r="K177" s="46" t="str">
        <f t="shared" si="9"/>
        <v/>
      </c>
      <c r="L177" s="47" t="str">
        <f t="shared" si="10"/>
        <v/>
      </c>
      <c r="M177" s="48" t="str">
        <f t="shared" si="11"/>
        <v/>
      </c>
    </row>
    <row r="178" spans="2:13" ht="12.95" customHeight="1" x14ac:dyDescent="0.25">
      <c r="B178" s="39"/>
      <c r="C178" s="37"/>
      <c r="D178" s="28"/>
      <c r="E178" s="35"/>
      <c r="F178" s="38"/>
      <c r="G178" s="38"/>
      <c r="H178" s="40"/>
      <c r="I178" s="41" t="str">
        <f>IF($E178="","",IF(COUNTIF($K$10:$K178,$K178)&gt;1,"DUPLICATE","No"))</f>
        <v/>
      </c>
      <c r="J178" s="41" t="str">
        <f t="shared" si="8"/>
        <v/>
      </c>
      <c r="K178" s="42" t="str">
        <f t="shared" si="9"/>
        <v/>
      </c>
      <c r="L178" s="43" t="str">
        <f t="shared" si="10"/>
        <v/>
      </c>
      <c r="M178" s="44" t="str">
        <f t="shared" si="11"/>
        <v/>
      </c>
    </row>
    <row r="179" spans="2:13" ht="12.95" customHeight="1" x14ac:dyDescent="0.25">
      <c r="B179" s="39"/>
      <c r="C179" s="37"/>
      <c r="D179" s="28"/>
      <c r="E179" s="35"/>
      <c r="F179" s="38"/>
      <c r="G179" s="38"/>
      <c r="H179" s="40"/>
      <c r="I179" s="45" t="str">
        <f>IF($E179="","",IF(COUNTIF($K$10:$K179,$K179)&gt;1,"DUPLICATE","No"))</f>
        <v/>
      </c>
      <c r="J179" s="45" t="str">
        <f t="shared" si="8"/>
        <v/>
      </c>
      <c r="K179" s="46" t="str">
        <f t="shared" si="9"/>
        <v/>
      </c>
      <c r="L179" s="47" t="str">
        <f t="shared" si="10"/>
        <v/>
      </c>
      <c r="M179" s="48" t="str">
        <f t="shared" si="11"/>
        <v/>
      </c>
    </row>
    <row r="180" spans="2:13" ht="12.95" customHeight="1" x14ac:dyDescent="0.25">
      <c r="B180" s="39"/>
      <c r="C180" s="37"/>
      <c r="D180" s="28"/>
      <c r="E180" s="35"/>
      <c r="F180" s="38"/>
      <c r="G180" s="38"/>
      <c r="H180" s="40"/>
      <c r="I180" s="41" t="str">
        <f>IF($E180="","",IF(COUNTIF($K$10:$K180,$K180)&gt;1,"DUPLICATE","No"))</f>
        <v/>
      </c>
      <c r="J180" s="41" t="str">
        <f t="shared" si="8"/>
        <v/>
      </c>
      <c r="K180" s="42" t="str">
        <f t="shared" si="9"/>
        <v/>
      </c>
      <c r="L180" s="43" t="str">
        <f t="shared" si="10"/>
        <v/>
      </c>
      <c r="M180" s="44" t="str">
        <f t="shared" si="11"/>
        <v/>
      </c>
    </row>
    <row r="181" spans="2:13" ht="12.95" customHeight="1" x14ac:dyDescent="0.25">
      <c r="B181" s="39"/>
      <c r="C181" s="37"/>
      <c r="D181" s="28"/>
      <c r="E181" s="35"/>
      <c r="F181" s="38"/>
      <c r="G181" s="38"/>
      <c r="H181" s="40"/>
      <c r="I181" s="45" t="str">
        <f>IF($E181="","",IF(COUNTIF($K$10:$K181,$K181)&gt;1,"DUPLICATE","No"))</f>
        <v/>
      </c>
      <c r="J181" s="45" t="str">
        <f t="shared" si="8"/>
        <v/>
      </c>
      <c r="K181" s="46" t="str">
        <f t="shared" si="9"/>
        <v/>
      </c>
      <c r="L181" s="47" t="str">
        <f t="shared" si="10"/>
        <v/>
      </c>
      <c r="M181" s="48" t="str">
        <f t="shared" si="11"/>
        <v/>
      </c>
    </row>
    <row r="182" spans="2:13" ht="12.95" customHeight="1" x14ac:dyDescent="0.25">
      <c r="B182" s="39"/>
      <c r="C182" s="37"/>
      <c r="D182" s="28"/>
      <c r="E182" s="35"/>
      <c r="F182" s="38"/>
      <c r="G182" s="38"/>
      <c r="H182" s="40"/>
      <c r="I182" s="41" t="str">
        <f>IF($E182="","",IF(COUNTIF($K$10:$K182,$K182)&gt;1,"DUPLICATE","No"))</f>
        <v/>
      </c>
      <c r="J182" s="41" t="str">
        <f t="shared" si="8"/>
        <v/>
      </c>
      <c r="K182" s="42" t="str">
        <f t="shared" si="9"/>
        <v/>
      </c>
      <c r="L182" s="43" t="str">
        <f t="shared" si="10"/>
        <v/>
      </c>
      <c r="M182" s="44" t="str">
        <f t="shared" si="11"/>
        <v/>
      </c>
    </row>
    <row r="183" spans="2:13" ht="12.95" customHeight="1" x14ac:dyDescent="0.25">
      <c r="B183" s="39"/>
      <c r="C183" s="37"/>
      <c r="D183" s="28"/>
      <c r="E183" s="35"/>
      <c r="F183" s="38"/>
      <c r="G183" s="38"/>
      <c r="H183" s="40"/>
      <c r="I183" s="45" t="str">
        <f>IF($E183="","",IF(COUNTIF($K$10:$K183,$K183)&gt;1,"DUPLICATE","No"))</f>
        <v/>
      </c>
      <c r="J183" s="45" t="str">
        <f t="shared" si="8"/>
        <v/>
      </c>
      <c r="K183" s="46" t="str">
        <f t="shared" si="9"/>
        <v/>
      </c>
      <c r="L183" s="47" t="str">
        <f t="shared" si="10"/>
        <v/>
      </c>
      <c r="M183" s="48" t="str">
        <f t="shared" si="11"/>
        <v/>
      </c>
    </row>
    <row r="184" spans="2:13" ht="12.95" customHeight="1" x14ac:dyDescent="0.25">
      <c r="B184" s="39"/>
      <c r="C184" s="37"/>
      <c r="D184" s="28"/>
      <c r="E184" s="35"/>
      <c r="F184" s="38"/>
      <c r="G184" s="38"/>
      <c r="H184" s="40"/>
      <c r="I184" s="41" t="str">
        <f>IF($E184="","",IF(COUNTIF($K$10:$K184,$K184)&gt;1,"DUPLICATE","No"))</f>
        <v/>
      </c>
      <c r="J184" s="41" t="str">
        <f t="shared" si="8"/>
        <v/>
      </c>
      <c r="K184" s="42" t="str">
        <f t="shared" si="9"/>
        <v/>
      </c>
      <c r="L184" s="43" t="str">
        <f t="shared" si="10"/>
        <v/>
      </c>
      <c r="M184" s="44" t="str">
        <f t="shared" si="11"/>
        <v/>
      </c>
    </row>
    <row r="185" spans="2:13" ht="12.95" customHeight="1" x14ac:dyDescent="0.25">
      <c r="B185" s="39"/>
      <c r="C185" s="37"/>
      <c r="D185" s="28"/>
      <c r="E185" s="35"/>
      <c r="F185" s="38"/>
      <c r="G185" s="38"/>
      <c r="H185" s="40"/>
      <c r="I185" s="45" t="str">
        <f>IF($E185="","",IF(COUNTIF($K$10:$K185,$K185)&gt;1,"DUPLICATE","No"))</f>
        <v/>
      </c>
      <c r="J185" s="45" t="str">
        <f t="shared" si="8"/>
        <v/>
      </c>
      <c r="K185" s="46" t="str">
        <f t="shared" si="9"/>
        <v/>
      </c>
      <c r="L185" s="47" t="str">
        <f t="shared" si="10"/>
        <v/>
      </c>
      <c r="M185" s="48" t="str">
        <f t="shared" si="11"/>
        <v/>
      </c>
    </row>
    <row r="186" spans="2:13" ht="12.95" customHeight="1" x14ac:dyDescent="0.25">
      <c r="B186" s="39"/>
      <c r="C186" s="37"/>
      <c r="D186" s="28"/>
      <c r="E186" s="35"/>
      <c r="F186" s="38"/>
      <c r="G186" s="38"/>
      <c r="H186" s="40"/>
      <c r="I186" s="41" t="str">
        <f>IF($E186="","",IF(COUNTIF($K$10:$K186,$K186)&gt;1,"DUPLICATE","No"))</f>
        <v/>
      </c>
      <c r="J186" s="41" t="str">
        <f t="shared" si="8"/>
        <v/>
      </c>
      <c r="K186" s="42" t="str">
        <f t="shared" si="9"/>
        <v/>
      </c>
      <c r="L186" s="43" t="str">
        <f t="shared" si="10"/>
        <v/>
      </c>
      <c r="M186" s="44" t="str">
        <f t="shared" si="11"/>
        <v/>
      </c>
    </row>
    <row r="187" spans="2:13" ht="12.95" customHeight="1" x14ac:dyDescent="0.25">
      <c r="B187" s="39"/>
      <c r="C187" s="37"/>
      <c r="D187" s="28"/>
      <c r="E187" s="35"/>
      <c r="F187" s="38"/>
      <c r="G187" s="38"/>
      <c r="H187" s="40"/>
      <c r="I187" s="45" t="str">
        <f>IF($E187="","",IF(COUNTIF($K$10:$K187,$K187)&gt;1,"DUPLICATE","No"))</f>
        <v/>
      </c>
      <c r="J187" s="45" t="str">
        <f t="shared" si="8"/>
        <v/>
      </c>
      <c r="K187" s="46" t="str">
        <f t="shared" si="9"/>
        <v/>
      </c>
      <c r="L187" s="47" t="str">
        <f t="shared" si="10"/>
        <v/>
      </c>
      <c r="M187" s="48" t="str">
        <f t="shared" si="11"/>
        <v/>
      </c>
    </row>
    <row r="188" spans="2:13" ht="12.95" customHeight="1" x14ac:dyDescent="0.25">
      <c r="B188" s="39"/>
      <c r="C188" s="37"/>
      <c r="D188" s="28"/>
      <c r="E188" s="35"/>
      <c r="F188" s="38"/>
      <c r="G188" s="38"/>
      <c r="H188" s="40"/>
      <c r="I188" s="41" t="str">
        <f>IF($E188="","",IF(COUNTIF($K$10:$K188,$K188)&gt;1,"DUPLICATE","No"))</f>
        <v/>
      </c>
      <c r="J188" s="41" t="str">
        <f t="shared" si="8"/>
        <v/>
      </c>
      <c r="K188" s="42" t="str">
        <f t="shared" si="9"/>
        <v/>
      </c>
      <c r="L188" s="43" t="str">
        <f t="shared" si="10"/>
        <v/>
      </c>
      <c r="M188" s="44" t="str">
        <f t="shared" si="11"/>
        <v/>
      </c>
    </row>
    <row r="189" spans="2:13" ht="12.95" customHeight="1" x14ac:dyDescent="0.25">
      <c r="B189" s="39"/>
      <c r="C189" s="37"/>
      <c r="D189" s="28"/>
      <c r="E189" s="35"/>
      <c r="F189" s="38"/>
      <c r="G189" s="38"/>
      <c r="H189" s="40"/>
      <c r="I189" s="45" t="str">
        <f>IF($E189="","",IF(COUNTIF($K$10:$K189,$K189)&gt;1,"DUPLICATE","No"))</f>
        <v/>
      </c>
      <c r="J189" s="45" t="str">
        <f t="shared" si="8"/>
        <v/>
      </c>
      <c r="K189" s="46" t="str">
        <f t="shared" si="9"/>
        <v/>
      </c>
      <c r="L189" s="47" t="str">
        <f t="shared" si="10"/>
        <v/>
      </c>
      <c r="M189" s="48" t="str">
        <f t="shared" si="11"/>
        <v/>
      </c>
    </row>
    <row r="190" spans="2:13" ht="12.95" customHeight="1" x14ac:dyDescent="0.25">
      <c r="B190" s="39"/>
      <c r="C190" s="37"/>
      <c r="D190" s="28"/>
      <c r="E190" s="35"/>
      <c r="F190" s="38"/>
      <c r="G190" s="38"/>
      <c r="H190" s="40"/>
      <c r="I190" s="41" t="str">
        <f>IF($E190="","",IF(COUNTIF($K$10:$K190,$K190)&gt;1,"DUPLICATE","No"))</f>
        <v/>
      </c>
      <c r="J190" s="41" t="str">
        <f t="shared" si="8"/>
        <v/>
      </c>
      <c r="K190" s="42" t="str">
        <f t="shared" si="9"/>
        <v/>
      </c>
      <c r="L190" s="43" t="str">
        <f t="shared" si="10"/>
        <v/>
      </c>
      <c r="M190" s="44" t="str">
        <f t="shared" si="11"/>
        <v/>
      </c>
    </row>
    <row r="191" spans="2:13" ht="12.95" customHeight="1" x14ac:dyDescent="0.25">
      <c r="B191" s="39"/>
      <c r="C191" s="37"/>
      <c r="D191" s="28"/>
      <c r="E191" s="35"/>
      <c r="F191" s="38"/>
      <c r="G191" s="38"/>
      <c r="H191" s="40"/>
      <c r="I191" s="45" t="str">
        <f>IF($E191="","",IF(COUNTIF($K$10:$K191,$K191)&gt;1,"DUPLICATE","No"))</f>
        <v/>
      </c>
      <c r="J191" s="45" t="str">
        <f t="shared" si="8"/>
        <v/>
      </c>
      <c r="K191" s="46" t="str">
        <f t="shared" si="9"/>
        <v/>
      </c>
      <c r="L191" s="47" t="str">
        <f t="shared" si="10"/>
        <v/>
      </c>
      <c r="M191" s="48" t="str">
        <f t="shared" si="11"/>
        <v/>
      </c>
    </row>
    <row r="192" spans="2:13" ht="12.95" customHeight="1" x14ac:dyDescent="0.25">
      <c r="B192" s="39"/>
      <c r="C192" s="37"/>
      <c r="D192" s="28"/>
      <c r="E192" s="35"/>
      <c r="F192" s="38"/>
      <c r="G192" s="38"/>
      <c r="H192" s="40"/>
      <c r="I192" s="41" t="str">
        <f>IF($E192="","",IF(COUNTIF($K$10:$K192,$K192)&gt;1,"DUPLICATE","No"))</f>
        <v/>
      </c>
      <c r="J192" s="41" t="str">
        <f t="shared" si="8"/>
        <v/>
      </c>
      <c r="K192" s="42" t="str">
        <f t="shared" si="9"/>
        <v/>
      </c>
      <c r="L192" s="43" t="str">
        <f t="shared" si="10"/>
        <v/>
      </c>
      <c r="M192" s="44" t="str">
        <f t="shared" si="11"/>
        <v/>
      </c>
    </row>
    <row r="193" spans="2:13" ht="12.95" customHeight="1" x14ac:dyDescent="0.25">
      <c r="B193" s="39"/>
      <c r="C193" s="37"/>
      <c r="D193" s="28"/>
      <c r="E193" s="35"/>
      <c r="F193" s="38"/>
      <c r="G193" s="38"/>
      <c r="H193" s="40"/>
      <c r="I193" s="45" t="str">
        <f>IF($E193="","",IF(COUNTIF($K$10:$K193,$K193)&gt;1,"DUPLICATE","No"))</f>
        <v/>
      </c>
      <c r="J193" s="45" t="str">
        <f t="shared" si="8"/>
        <v/>
      </c>
      <c r="K193" s="46" t="str">
        <f t="shared" si="9"/>
        <v/>
      </c>
      <c r="L193" s="47" t="str">
        <f t="shared" si="10"/>
        <v/>
      </c>
      <c r="M193" s="48" t="str">
        <f t="shared" si="11"/>
        <v/>
      </c>
    </row>
    <row r="194" spans="2:13" ht="12.95" customHeight="1" x14ac:dyDescent="0.25">
      <c r="B194" s="39"/>
      <c r="C194" s="37"/>
      <c r="D194" s="28"/>
      <c r="E194" s="35"/>
      <c r="F194" s="38"/>
      <c r="G194" s="38"/>
      <c r="H194" s="40"/>
      <c r="I194" s="41" t="str">
        <f>IF($E194="","",IF(COUNTIF($K$10:$K194,$K194)&gt;1,"DUPLICATE","No"))</f>
        <v/>
      </c>
      <c r="J194" s="41" t="str">
        <f t="shared" si="8"/>
        <v/>
      </c>
      <c r="K194" s="42" t="str">
        <f t="shared" si="9"/>
        <v/>
      </c>
      <c r="L194" s="43" t="str">
        <f t="shared" si="10"/>
        <v/>
      </c>
      <c r="M194" s="44" t="str">
        <f t="shared" si="11"/>
        <v/>
      </c>
    </row>
    <row r="195" spans="2:13" ht="12.95" customHeight="1" x14ac:dyDescent="0.25">
      <c r="B195" s="39"/>
      <c r="C195" s="37"/>
      <c r="D195" s="28"/>
      <c r="E195" s="35"/>
      <c r="F195" s="38"/>
      <c r="G195" s="38"/>
      <c r="H195" s="40"/>
      <c r="I195" s="45" t="str">
        <f>IF($E195="","",IF(COUNTIF($K$10:$K195,$K195)&gt;1,"DUPLICATE","No"))</f>
        <v/>
      </c>
      <c r="J195" s="45" t="str">
        <f t="shared" si="8"/>
        <v/>
      </c>
      <c r="K195" s="46" t="str">
        <f t="shared" si="9"/>
        <v/>
      </c>
      <c r="L195" s="47" t="str">
        <f t="shared" si="10"/>
        <v/>
      </c>
      <c r="M195" s="48" t="str">
        <f t="shared" si="11"/>
        <v/>
      </c>
    </row>
    <row r="196" spans="2:13" ht="12.95" customHeight="1" x14ac:dyDescent="0.25">
      <c r="B196" s="39"/>
      <c r="C196" s="37"/>
      <c r="D196" s="28"/>
      <c r="E196" s="35"/>
      <c r="F196" s="38"/>
      <c r="G196" s="38"/>
      <c r="H196" s="40"/>
      <c r="I196" s="41" t="str">
        <f>IF($E196="","",IF(COUNTIF($K$10:$K196,$K196)&gt;1,"DUPLICATE","No"))</f>
        <v/>
      </c>
      <c r="J196" s="41" t="str">
        <f t="shared" si="8"/>
        <v/>
      </c>
      <c r="K196" s="42" t="str">
        <f t="shared" si="9"/>
        <v/>
      </c>
      <c r="L196" s="43" t="str">
        <f t="shared" si="10"/>
        <v/>
      </c>
      <c r="M196" s="44" t="str">
        <f t="shared" si="11"/>
        <v/>
      </c>
    </row>
    <row r="197" spans="2:13" ht="12.95" customHeight="1" x14ac:dyDescent="0.25">
      <c r="B197" s="39"/>
      <c r="C197" s="37"/>
      <c r="D197" s="28"/>
      <c r="E197" s="35"/>
      <c r="F197" s="38"/>
      <c r="G197" s="38"/>
      <c r="H197" s="40"/>
      <c r="I197" s="45" t="str">
        <f>IF($E197="","",IF(COUNTIF($K$10:$K197,$K197)&gt;1,"DUPLICATE","No"))</f>
        <v/>
      </c>
      <c r="J197" s="45" t="str">
        <f t="shared" si="8"/>
        <v/>
      </c>
      <c r="K197" s="46" t="str">
        <f t="shared" si="9"/>
        <v/>
      </c>
      <c r="L197" s="47" t="str">
        <f t="shared" si="10"/>
        <v/>
      </c>
      <c r="M197" s="48" t="str">
        <f t="shared" si="11"/>
        <v/>
      </c>
    </row>
    <row r="198" spans="2:13" ht="12.95" customHeight="1" x14ac:dyDescent="0.25">
      <c r="B198" s="39"/>
      <c r="C198" s="37"/>
      <c r="D198" s="28"/>
      <c r="E198" s="35"/>
      <c r="F198" s="38"/>
      <c r="G198" s="38"/>
      <c r="H198" s="40"/>
      <c r="I198" s="41" t="str">
        <f>IF($E198="","",IF(COUNTIF($K$10:$K198,$K198)&gt;1,"DUPLICATE","No"))</f>
        <v/>
      </c>
      <c r="J198" s="41" t="str">
        <f t="shared" si="8"/>
        <v/>
      </c>
      <c r="K198" s="42" t="str">
        <f t="shared" si="9"/>
        <v/>
      </c>
      <c r="L198" s="43" t="str">
        <f t="shared" si="10"/>
        <v/>
      </c>
      <c r="M198" s="44" t="str">
        <f t="shared" si="11"/>
        <v/>
      </c>
    </row>
    <row r="199" spans="2:13" ht="12.95" customHeight="1" x14ac:dyDescent="0.25">
      <c r="B199" s="39"/>
      <c r="C199" s="37"/>
      <c r="D199" s="28"/>
      <c r="E199" s="35"/>
      <c r="F199" s="38"/>
      <c r="G199" s="38"/>
      <c r="H199" s="40"/>
      <c r="I199" s="45" t="str">
        <f>IF($E199="","",IF(COUNTIF($K$10:$K199,$K199)&gt;1,"DUPLICATE","No"))</f>
        <v/>
      </c>
      <c r="J199" s="45" t="str">
        <f t="shared" si="8"/>
        <v/>
      </c>
      <c r="K199" s="46" t="str">
        <f t="shared" si="9"/>
        <v/>
      </c>
      <c r="L199" s="47" t="str">
        <f t="shared" si="10"/>
        <v/>
      </c>
      <c r="M199" s="48" t="str">
        <f t="shared" si="11"/>
        <v/>
      </c>
    </row>
    <row r="200" spans="2:13" ht="12.95" customHeight="1" x14ac:dyDescent="0.25">
      <c r="B200" s="39"/>
      <c r="C200" s="37"/>
      <c r="D200" s="28"/>
      <c r="E200" s="35"/>
      <c r="F200" s="38"/>
      <c r="G200" s="38"/>
      <c r="H200" s="40"/>
      <c r="I200" s="41" t="str">
        <f>IF($E200="","",IF(COUNTIF($K$10:$K200,$K200)&gt;1,"DUPLICATE","No"))</f>
        <v/>
      </c>
      <c r="J200" s="41" t="str">
        <f t="shared" si="8"/>
        <v/>
      </c>
      <c r="K200" s="42" t="str">
        <f t="shared" si="9"/>
        <v/>
      </c>
      <c r="L200" s="43" t="str">
        <f t="shared" si="10"/>
        <v/>
      </c>
      <c r="M200" s="44" t="str">
        <f t="shared" si="11"/>
        <v/>
      </c>
    </row>
    <row r="201" spans="2:13" ht="12.95" customHeight="1" x14ac:dyDescent="0.25">
      <c r="B201" s="39"/>
      <c r="C201" s="37"/>
      <c r="D201" s="28"/>
      <c r="E201" s="35"/>
      <c r="F201" s="38"/>
      <c r="G201" s="38"/>
      <c r="H201" s="40"/>
      <c r="I201" s="45" t="str">
        <f>IF($E201="","",IF(COUNTIF($K$10:$K201,$K201)&gt;1,"DUPLICATE","No"))</f>
        <v/>
      </c>
      <c r="J201" s="45" t="str">
        <f t="shared" si="8"/>
        <v/>
      </c>
      <c r="K201" s="46" t="str">
        <f t="shared" si="9"/>
        <v/>
      </c>
      <c r="L201" s="47" t="str">
        <f t="shared" si="10"/>
        <v/>
      </c>
      <c r="M201" s="48" t="str">
        <f t="shared" si="11"/>
        <v/>
      </c>
    </row>
    <row r="202" spans="2:13" ht="12.95" customHeight="1" x14ac:dyDescent="0.25">
      <c r="B202" s="39"/>
      <c r="C202" s="37"/>
      <c r="D202" s="28"/>
      <c r="E202" s="35"/>
      <c r="F202" s="38"/>
      <c r="G202" s="38"/>
      <c r="H202" s="40"/>
      <c r="I202" s="41" t="str">
        <f>IF($E202="","",IF(COUNTIF($K$10:$K202,$K202)&gt;1,"DUPLICATE","No"))</f>
        <v/>
      </c>
      <c r="J202" s="41" t="str">
        <f t="shared" ref="J202:J265" si="12">IF($E202="","",IF(SUMPRODUCT(--(Txn_Acct=$D202),--(Txn_Date=$C202),--(Txn_Desc=$E202),--(ROUND(Txn_In+0,2)=ROUND(N($F202),2)),--(ROUND(Txn_Out+0,2)=ROUND(N($G202),2)))&gt;0,"ALREADY IN LEDGER","No"))</f>
        <v/>
      </c>
      <c r="K202" s="42" t="str">
        <f t="shared" ref="K202:K265" si="13">IF($E202="","",UPPER(TRIM($D202))&amp;"|"&amp;TEXT($C202,"yyyy-mm-dd")&amp;"|"&amp;UPPER(TRIM($E202))&amp;"|"&amp;TEXT(ROUND(N($F202),2),"0.00")&amp;"|"&amp;TEXT(ROUND(N($G202),2),"0.00"))</f>
        <v/>
      </c>
      <c r="L202" s="43" t="str">
        <f t="shared" ref="L202:L265" si="14">IF($E202="","",TRIM(IF($D202="","Missing account. ",IF(COUNTIF(Acct_Name,$D202)=0,"Unknown account. ",""))&amp;IF($C202="","Missing date. ",IF(NOT(ISNUMBER($C202)),"Invalid date. ",IF(AND(N($F$7)&gt;0,N($H$7)&gt;0,OR($C202&lt;$F$7,$C202&gt;$H$7)),"Outside statement period. ","")))&amp;IF(AND(N($F202)&gt;0,N($G202)&gt;0),"Both Money In and Money Out populated. ","")&amp;IF(AND(N($F202)=0,N($G202)=0),"No amount. ","")&amp;IF(OR(N($F202)&lt;0,N($G202)&lt;0),"Negative amount. ","")&amp;IF($B202="","Batch ID missing on this row - fill it down from B7. ","")&amp;IF(OR($B$7="",$D$7=""),"Batch header incomplete - fill in B7 and D7. ","")&amp;IF(OR(N($F$7)=0,N($H$7)=0),"Statement period missing on the header - the date check is OFF. ","")&amp;IF(AND(N($J$7)=0,N($L$7)=0),"Statement totals missing on the header - the tie-out is OFF. ","")))</f>
        <v/>
      </c>
      <c r="M202" s="44" t="str">
        <f t="shared" ref="M202:M265" si="15">IF($E202="","",IF(AND($L202="",$I202="No",$J202="ALREADY IN LEDGER"),"POSTED",IF(AND($L202="",$I202="No",$J202="No"),"Yes","NO")))</f>
        <v/>
      </c>
    </row>
    <row r="203" spans="2:13" ht="12.95" customHeight="1" x14ac:dyDescent="0.25">
      <c r="B203" s="39"/>
      <c r="C203" s="37"/>
      <c r="D203" s="28"/>
      <c r="E203" s="35"/>
      <c r="F203" s="38"/>
      <c r="G203" s="38"/>
      <c r="H203" s="40"/>
      <c r="I203" s="45" t="str">
        <f>IF($E203="","",IF(COUNTIF($K$10:$K203,$K203)&gt;1,"DUPLICATE","No"))</f>
        <v/>
      </c>
      <c r="J203" s="45" t="str">
        <f t="shared" si="12"/>
        <v/>
      </c>
      <c r="K203" s="46" t="str">
        <f t="shared" si="13"/>
        <v/>
      </c>
      <c r="L203" s="47" t="str">
        <f t="shared" si="14"/>
        <v/>
      </c>
      <c r="M203" s="48" t="str">
        <f t="shared" si="15"/>
        <v/>
      </c>
    </row>
    <row r="204" spans="2:13" ht="12.95" customHeight="1" x14ac:dyDescent="0.25">
      <c r="B204" s="39"/>
      <c r="C204" s="37"/>
      <c r="D204" s="28"/>
      <c r="E204" s="35"/>
      <c r="F204" s="38"/>
      <c r="G204" s="38"/>
      <c r="H204" s="40"/>
      <c r="I204" s="41" t="str">
        <f>IF($E204="","",IF(COUNTIF($K$10:$K204,$K204)&gt;1,"DUPLICATE","No"))</f>
        <v/>
      </c>
      <c r="J204" s="41" t="str">
        <f t="shared" si="12"/>
        <v/>
      </c>
      <c r="K204" s="42" t="str">
        <f t="shared" si="13"/>
        <v/>
      </c>
      <c r="L204" s="43" t="str">
        <f t="shared" si="14"/>
        <v/>
      </c>
      <c r="M204" s="44" t="str">
        <f t="shared" si="15"/>
        <v/>
      </c>
    </row>
    <row r="205" spans="2:13" ht="12.95" customHeight="1" x14ac:dyDescent="0.25">
      <c r="B205" s="39"/>
      <c r="C205" s="37"/>
      <c r="D205" s="28"/>
      <c r="E205" s="35"/>
      <c r="F205" s="38"/>
      <c r="G205" s="38"/>
      <c r="H205" s="40"/>
      <c r="I205" s="45" t="str">
        <f>IF($E205="","",IF(COUNTIF($K$10:$K205,$K205)&gt;1,"DUPLICATE","No"))</f>
        <v/>
      </c>
      <c r="J205" s="45" t="str">
        <f t="shared" si="12"/>
        <v/>
      </c>
      <c r="K205" s="46" t="str">
        <f t="shared" si="13"/>
        <v/>
      </c>
      <c r="L205" s="47" t="str">
        <f t="shared" si="14"/>
        <v/>
      </c>
      <c r="M205" s="48" t="str">
        <f t="shared" si="15"/>
        <v/>
      </c>
    </row>
    <row r="206" spans="2:13" ht="12.95" customHeight="1" x14ac:dyDescent="0.25">
      <c r="B206" s="39"/>
      <c r="C206" s="37"/>
      <c r="D206" s="28"/>
      <c r="E206" s="35"/>
      <c r="F206" s="38"/>
      <c r="G206" s="38"/>
      <c r="H206" s="40"/>
      <c r="I206" s="41" t="str">
        <f>IF($E206="","",IF(COUNTIF($K$10:$K206,$K206)&gt;1,"DUPLICATE","No"))</f>
        <v/>
      </c>
      <c r="J206" s="41" t="str">
        <f t="shared" si="12"/>
        <v/>
      </c>
      <c r="K206" s="42" t="str">
        <f t="shared" si="13"/>
        <v/>
      </c>
      <c r="L206" s="43" t="str">
        <f t="shared" si="14"/>
        <v/>
      </c>
      <c r="M206" s="44" t="str">
        <f t="shared" si="15"/>
        <v/>
      </c>
    </row>
    <row r="207" spans="2:13" ht="12.95" customHeight="1" x14ac:dyDescent="0.25">
      <c r="B207" s="39"/>
      <c r="C207" s="37"/>
      <c r="D207" s="28"/>
      <c r="E207" s="35"/>
      <c r="F207" s="38"/>
      <c r="G207" s="38"/>
      <c r="H207" s="40"/>
      <c r="I207" s="45" t="str">
        <f>IF($E207="","",IF(COUNTIF($K$10:$K207,$K207)&gt;1,"DUPLICATE","No"))</f>
        <v/>
      </c>
      <c r="J207" s="45" t="str">
        <f t="shared" si="12"/>
        <v/>
      </c>
      <c r="K207" s="46" t="str">
        <f t="shared" si="13"/>
        <v/>
      </c>
      <c r="L207" s="47" t="str">
        <f t="shared" si="14"/>
        <v/>
      </c>
      <c r="M207" s="48" t="str">
        <f t="shared" si="15"/>
        <v/>
      </c>
    </row>
    <row r="208" spans="2:13" ht="12.95" customHeight="1" x14ac:dyDescent="0.25">
      <c r="B208" s="39"/>
      <c r="C208" s="37"/>
      <c r="D208" s="28"/>
      <c r="E208" s="35"/>
      <c r="F208" s="38"/>
      <c r="G208" s="38"/>
      <c r="H208" s="40"/>
      <c r="I208" s="41" t="str">
        <f>IF($E208="","",IF(COUNTIF($K$10:$K208,$K208)&gt;1,"DUPLICATE","No"))</f>
        <v/>
      </c>
      <c r="J208" s="41" t="str">
        <f t="shared" si="12"/>
        <v/>
      </c>
      <c r="K208" s="42" t="str">
        <f t="shared" si="13"/>
        <v/>
      </c>
      <c r="L208" s="43" t="str">
        <f t="shared" si="14"/>
        <v/>
      </c>
      <c r="M208" s="44" t="str">
        <f t="shared" si="15"/>
        <v/>
      </c>
    </row>
    <row r="209" spans="2:13" ht="12.95" customHeight="1" x14ac:dyDescent="0.25">
      <c r="B209" s="39"/>
      <c r="C209" s="37"/>
      <c r="D209" s="28"/>
      <c r="E209" s="35"/>
      <c r="F209" s="38"/>
      <c r="G209" s="38"/>
      <c r="H209" s="40"/>
      <c r="I209" s="45" t="str">
        <f>IF($E209="","",IF(COUNTIF($K$10:$K209,$K209)&gt;1,"DUPLICATE","No"))</f>
        <v/>
      </c>
      <c r="J209" s="45" t="str">
        <f t="shared" si="12"/>
        <v/>
      </c>
      <c r="K209" s="46" t="str">
        <f t="shared" si="13"/>
        <v/>
      </c>
      <c r="L209" s="47" t="str">
        <f t="shared" si="14"/>
        <v/>
      </c>
      <c r="M209" s="48" t="str">
        <f t="shared" si="15"/>
        <v/>
      </c>
    </row>
    <row r="210" spans="2:13" ht="12.95" customHeight="1" x14ac:dyDescent="0.25">
      <c r="B210" s="39"/>
      <c r="C210" s="37"/>
      <c r="D210" s="28"/>
      <c r="E210" s="35"/>
      <c r="F210" s="38"/>
      <c r="G210" s="38"/>
      <c r="H210" s="40"/>
      <c r="I210" s="41" t="str">
        <f>IF($E210="","",IF(COUNTIF($K$10:$K210,$K210)&gt;1,"DUPLICATE","No"))</f>
        <v/>
      </c>
      <c r="J210" s="41" t="str">
        <f t="shared" si="12"/>
        <v/>
      </c>
      <c r="K210" s="42" t="str">
        <f t="shared" si="13"/>
        <v/>
      </c>
      <c r="L210" s="43" t="str">
        <f t="shared" si="14"/>
        <v/>
      </c>
      <c r="M210" s="44" t="str">
        <f t="shared" si="15"/>
        <v/>
      </c>
    </row>
    <row r="211" spans="2:13" ht="12.95" customHeight="1" x14ac:dyDescent="0.25">
      <c r="B211" s="39"/>
      <c r="C211" s="37"/>
      <c r="D211" s="28"/>
      <c r="E211" s="35"/>
      <c r="F211" s="38"/>
      <c r="G211" s="38"/>
      <c r="H211" s="40"/>
      <c r="I211" s="45" t="str">
        <f>IF($E211="","",IF(COUNTIF($K$10:$K211,$K211)&gt;1,"DUPLICATE","No"))</f>
        <v/>
      </c>
      <c r="J211" s="45" t="str">
        <f t="shared" si="12"/>
        <v/>
      </c>
      <c r="K211" s="46" t="str">
        <f t="shared" si="13"/>
        <v/>
      </c>
      <c r="L211" s="47" t="str">
        <f t="shared" si="14"/>
        <v/>
      </c>
      <c r="M211" s="48" t="str">
        <f t="shared" si="15"/>
        <v/>
      </c>
    </row>
    <row r="212" spans="2:13" ht="12.95" customHeight="1" x14ac:dyDescent="0.25">
      <c r="B212" s="39"/>
      <c r="C212" s="37"/>
      <c r="D212" s="28"/>
      <c r="E212" s="35"/>
      <c r="F212" s="38"/>
      <c r="G212" s="38"/>
      <c r="H212" s="40"/>
      <c r="I212" s="41" t="str">
        <f>IF($E212="","",IF(COUNTIF($K$10:$K212,$K212)&gt;1,"DUPLICATE","No"))</f>
        <v/>
      </c>
      <c r="J212" s="41" t="str">
        <f t="shared" si="12"/>
        <v/>
      </c>
      <c r="K212" s="42" t="str">
        <f t="shared" si="13"/>
        <v/>
      </c>
      <c r="L212" s="43" t="str">
        <f t="shared" si="14"/>
        <v/>
      </c>
      <c r="M212" s="44" t="str">
        <f t="shared" si="15"/>
        <v/>
      </c>
    </row>
    <row r="213" spans="2:13" ht="12.95" customHeight="1" x14ac:dyDescent="0.25">
      <c r="B213" s="39"/>
      <c r="C213" s="37"/>
      <c r="D213" s="28"/>
      <c r="E213" s="35"/>
      <c r="F213" s="38"/>
      <c r="G213" s="38"/>
      <c r="H213" s="40"/>
      <c r="I213" s="45" t="str">
        <f>IF($E213="","",IF(COUNTIF($K$10:$K213,$K213)&gt;1,"DUPLICATE","No"))</f>
        <v/>
      </c>
      <c r="J213" s="45" t="str">
        <f t="shared" si="12"/>
        <v/>
      </c>
      <c r="K213" s="46" t="str">
        <f t="shared" si="13"/>
        <v/>
      </c>
      <c r="L213" s="47" t="str">
        <f t="shared" si="14"/>
        <v/>
      </c>
      <c r="M213" s="48" t="str">
        <f t="shared" si="15"/>
        <v/>
      </c>
    </row>
    <row r="214" spans="2:13" ht="12.95" customHeight="1" x14ac:dyDescent="0.25">
      <c r="B214" s="39"/>
      <c r="C214" s="37"/>
      <c r="D214" s="28"/>
      <c r="E214" s="35"/>
      <c r="F214" s="38"/>
      <c r="G214" s="38"/>
      <c r="H214" s="40"/>
      <c r="I214" s="41" t="str">
        <f>IF($E214="","",IF(COUNTIF($K$10:$K214,$K214)&gt;1,"DUPLICATE","No"))</f>
        <v/>
      </c>
      <c r="J214" s="41" t="str">
        <f t="shared" si="12"/>
        <v/>
      </c>
      <c r="K214" s="42" t="str">
        <f t="shared" si="13"/>
        <v/>
      </c>
      <c r="L214" s="43" t="str">
        <f t="shared" si="14"/>
        <v/>
      </c>
      <c r="M214" s="44" t="str">
        <f t="shared" si="15"/>
        <v/>
      </c>
    </row>
    <row r="215" spans="2:13" ht="12.95" customHeight="1" x14ac:dyDescent="0.25">
      <c r="B215" s="39"/>
      <c r="C215" s="37"/>
      <c r="D215" s="28"/>
      <c r="E215" s="35"/>
      <c r="F215" s="38"/>
      <c r="G215" s="38"/>
      <c r="H215" s="40"/>
      <c r="I215" s="45" t="str">
        <f>IF($E215="","",IF(COUNTIF($K$10:$K215,$K215)&gt;1,"DUPLICATE","No"))</f>
        <v/>
      </c>
      <c r="J215" s="45" t="str">
        <f t="shared" si="12"/>
        <v/>
      </c>
      <c r="K215" s="46" t="str">
        <f t="shared" si="13"/>
        <v/>
      </c>
      <c r="L215" s="47" t="str">
        <f t="shared" si="14"/>
        <v/>
      </c>
      <c r="M215" s="48" t="str">
        <f t="shared" si="15"/>
        <v/>
      </c>
    </row>
    <row r="216" spans="2:13" ht="12.95" customHeight="1" x14ac:dyDescent="0.25">
      <c r="B216" s="39"/>
      <c r="C216" s="37"/>
      <c r="D216" s="28"/>
      <c r="E216" s="35"/>
      <c r="F216" s="38"/>
      <c r="G216" s="38"/>
      <c r="H216" s="40"/>
      <c r="I216" s="41" t="str">
        <f>IF($E216="","",IF(COUNTIF($K$10:$K216,$K216)&gt;1,"DUPLICATE","No"))</f>
        <v/>
      </c>
      <c r="J216" s="41" t="str">
        <f t="shared" si="12"/>
        <v/>
      </c>
      <c r="K216" s="42" t="str">
        <f t="shared" si="13"/>
        <v/>
      </c>
      <c r="L216" s="43" t="str">
        <f t="shared" si="14"/>
        <v/>
      </c>
      <c r="M216" s="44" t="str">
        <f t="shared" si="15"/>
        <v/>
      </c>
    </row>
    <row r="217" spans="2:13" ht="12.95" customHeight="1" x14ac:dyDescent="0.25">
      <c r="B217" s="39"/>
      <c r="C217" s="37"/>
      <c r="D217" s="28"/>
      <c r="E217" s="35"/>
      <c r="F217" s="38"/>
      <c r="G217" s="38"/>
      <c r="H217" s="40"/>
      <c r="I217" s="45" t="str">
        <f>IF($E217="","",IF(COUNTIF($K$10:$K217,$K217)&gt;1,"DUPLICATE","No"))</f>
        <v/>
      </c>
      <c r="J217" s="45" t="str">
        <f t="shared" si="12"/>
        <v/>
      </c>
      <c r="K217" s="46" t="str">
        <f t="shared" si="13"/>
        <v/>
      </c>
      <c r="L217" s="47" t="str">
        <f t="shared" si="14"/>
        <v/>
      </c>
      <c r="M217" s="48" t="str">
        <f t="shared" si="15"/>
        <v/>
      </c>
    </row>
    <row r="218" spans="2:13" ht="12.95" customHeight="1" x14ac:dyDescent="0.25">
      <c r="B218" s="39"/>
      <c r="C218" s="37"/>
      <c r="D218" s="28"/>
      <c r="E218" s="35"/>
      <c r="F218" s="38"/>
      <c r="G218" s="38"/>
      <c r="H218" s="40"/>
      <c r="I218" s="41" t="str">
        <f>IF($E218="","",IF(COUNTIF($K$10:$K218,$K218)&gt;1,"DUPLICATE","No"))</f>
        <v/>
      </c>
      <c r="J218" s="41" t="str">
        <f t="shared" si="12"/>
        <v/>
      </c>
      <c r="K218" s="42" t="str">
        <f t="shared" si="13"/>
        <v/>
      </c>
      <c r="L218" s="43" t="str">
        <f t="shared" si="14"/>
        <v/>
      </c>
      <c r="M218" s="44" t="str">
        <f t="shared" si="15"/>
        <v/>
      </c>
    </row>
    <row r="219" spans="2:13" ht="12.95" customHeight="1" x14ac:dyDescent="0.25">
      <c r="B219" s="39"/>
      <c r="C219" s="37"/>
      <c r="D219" s="28"/>
      <c r="E219" s="35"/>
      <c r="F219" s="38"/>
      <c r="G219" s="38"/>
      <c r="H219" s="40"/>
      <c r="I219" s="45" t="str">
        <f>IF($E219="","",IF(COUNTIF($K$10:$K219,$K219)&gt;1,"DUPLICATE","No"))</f>
        <v/>
      </c>
      <c r="J219" s="45" t="str">
        <f t="shared" si="12"/>
        <v/>
      </c>
      <c r="K219" s="46" t="str">
        <f t="shared" si="13"/>
        <v/>
      </c>
      <c r="L219" s="47" t="str">
        <f t="shared" si="14"/>
        <v/>
      </c>
      <c r="M219" s="48" t="str">
        <f t="shared" si="15"/>
        <v/>
      </c>
    </row>
    <row r="220" spans="2:13" ht="12.95" customHeight="1" x14ac:dyDescent="0.25">
      <c r="B220" s="39"/>
      <c r="C220" s="37"/>
      <c r="D220" s="28"/>
      <c r="E220" s="35"/>
      <c r="F220" s="38"/>
      <c r="G220" s="38"/>
      <c r="H220" s="40"/>
      <c r="I220" s="41" t="str">
        <f>IF($E220="","",IF(COUNTIF($K$10:$K220,$K220)&gt;1,"DUPLICATE","No"))</f>
        <v/>
      </c>
      <c r="J220" s="41" t="str">
        <f t="shared" si="12"/>
        <v/>
      </c>
      <c r="K220" s="42" t="str">
        <f t="shared" si="13"/>
        <v/>
      </c>
      <c r="L220" s="43" t="str">
        <f t="shared" si="14"/>
        <v/>
      </c>
      <c r="M220" s="44" t="str">
        <f t="shared" si="15"/>
        <v/>
      </c>
    </row>
    <row r="221" spans="2:13" ht="12.95" customHeight="1" x14ac:dyDescent="0.25">
      <c r="B221" s="39"/>
      <c r="C221" s="37"/>
      <c r="D221" s="28"/>
      <c r="E221" s="35"/>
      <c r="F221" s="38"/>
      <c r="G221" s="38"/>
      <c r="H221" s="40"/>
      <c r="I221" s="45" t="str">
        <f>IF($E221="","",IF(COUNTIF($K$10:$K221,$K221)&gt;1,"DUPLICATE","No"))</f>
        <v/>
      </c>
      <c r="J221" s="45" t="str">
        <f t="shared" si="12"/>
        <v/>
      </c>
      <c r="K221" s="46" t="str">
        <f t="shared" si="13"/>
        <v/>
      </c>
      <c r="L221" s="47" t="str">
        <f t="shared" si="14"/>
        <v/>
      </c>
      <c r="M221" s="48" t="str">
        <f t="shared" si="15"/>
        <v/>
      </c>
    </row>
    <row r="222" spans="2:13" ht="12.95" customHeight="1" x14ac:dyDescent="0.25">
      <c r="B222" s="39"/>
      <c r="C222" s="37"/>
      <c r="D222" s="28"/>
      <c r="E222" s="35"/>
      <c r="F222" s="38"/>
      <c r="G222" s="38"/>
      <c r="H222" s="40"/>
      <c r="I222" s="41" t="str">
        <f>IF($E222="","",IF(COUNTIF($K$10:$K222,$K222)&gt;1,"DUPLICATE","No"))</f>
        <v/>
      </c>
      <c r="J222" s="41" t="str">
        <f t="shared" si="12"/>
        <v/>
      </c>
      <c r="K222" s="42" t="str">
        <f t="shared" si="13"/>
        <v/>
      </c>
      <c r="L222" s="43" t="str">
        <f t="shared" si="14"/>
        <v/>
      </c>
      <c r="M222" s="44" t="str">
        <f t="shared" si="15"/>
        <v/>
      </c>
    </row>
    <row r="223" spans="2:13" ht="12.95" customHeight="1" x14ac:dyDescent="0.25">
      <c r="B223" s="39"/>
      <c r="C223" s="37"/>
      <c r="D223" s="28"/>
      <c r="E223" s="35"/>
      <c r="F223" s="38"/>
      <c r="G223" s="38"/>
      <c r="H223" s="40"/>
      <c r="I223" s="45" t="str">
        <f>IF($E223="","",IF(COUNTIF($K$10:$K223,$K223)&gt;1,"DUPLICATE","No"))</f>
        <v/>
      </c>
      <c r="J223" s="45" t="str">
        <f t="shared" si="12"/>
        <v/>
      </c>
      <c r="K223" s="46" t="str">
        <f t="shared" si="13"/>
        <v/>
      </c>
      <c r="L223" s="47" t="str">
        <f t="shared" si="14"/>
        <v/>
      </c>
      <c r="M223" s="48" t="str">
        <f t="shared" si="15"/>
        <v/>
      </c>
    </row>
    <row r="224" spans="2:13" ht="12.95" customHeight="1" x14ac:dyDescent="0.25">
      <c r="B224" s="39"/>
      <c r="C224" s="37"/>
      <c r="D224" s="28"/>
      <c r="E224" s="35"/>
      <c r="F224" s="38"/>
      <c r="G224" s="38"/>
      <c r="H224" s="40"/>
      <c r="I224" s="41" t="str">
        <f>IF($E224="","",IF(COUNTIF($K$10:$K224,$K224)&gt;1,"DUPLICATE","No"))</f>
        <v/>
      </c>
      <c r="J224" s="41" t="str">
        <f t="shared" si="12"/>
        <v/>
      </c>
      <c r="K224" s="42" t="str">
        <f t="shared" si="13"/>
        <v/>
      </c>
      <c r="L224" s="43" t="str">
        <f t="shared" si="14"/>
        <v/>
      </c>
      <c r="M224" s="44" t="str">
        <f t="shared" si="15"/>
        <v/>
      </c>
    </row>
    <row r="225" spans="2:13" ht="12.95" customHeight="1" x14ac:dyDescent="0.25">
      <c r="B225" s="39"/>
      <c r="C225" s="37"/>
      <c r="D225" s="28"/>
      <c r="E225" s="35"/>
      <c r="F225" s="38"/>
      <c r="G225" s="38"/>
      <c r="H225" s="40"/>
      <c r="I225" s="45" t="str">
        <f>IF($E225="","",IF(COUNTIF($K$10:$K225,$K225)&gt;1,"DUPLICATE","No"))</f>
        <v/>
      </c>
      <c r="J225" s="45" t="str">
        <f t="shared" si="12"/>
        <v/>
      </c>
      <c r="K225" s="46" t="str">
        <f t="shared" si="13"/>
        <v/>
      </c>
      <c r="L225" s="47" t="str">
        <f t="shared" si="14"/>
        <v/>
      </c>
      <c r="M225" s="48" t="str">
        <f t="shared" si="15"/>
        <v/>
      </c>
    </row>
    <row r="226" spans="2:13" ht="12.95" customHeight="1" x14ac:dyDescent="0.25">
      <c r="B226" s="39"/>
      <c r="C226" s="37"/>
      <c r="D226" s="28"/>
      <c r="E226" s="35"/>
      <c r="F226" s="38"/>
      <c r="G226" s="38"/>
      <c r="H226" s="40"/>
      <c r="I226" s="41" t="str">
        <f>IF($E226="","",IF(COUNTIF($K$10:$K226,$K226)&gt;1,"DUPLICATE","No"))</f>
        <v/>
      </c>
      <c r="J226" s="41" t="str">
        <f t="shared" si="12"/>
        <v/>
      </c>
      <c r="K226" s="42" t="str">
        <f t="shared" si="13"/>
        <v/>
      </c>
      <c r="L226" s="43" t="str">
        <f t="shared" si="14"/>
        <v/>
      </c>
      <c r="M226" s="44" t="str">
        <f t="shared" si="15"/>
        <v/>
      </c>
    </row>
    <row r="227" spans="2:13" ht="12.95" customHeight="1" x14ac:dyDescent="0.25">
      <c r="B227" s="39"/>
      <c r="C227" s="37"/>
      <c r="D227" s="28"/>
      <c r="E227" s="35"/>
      <c r="F227" s="38"/>
      <c r="G227" s="38"/>
      <c r="H227" s="40"/>
      <c r="I227" s="45" t="str">
        <f>IF($E227="","",IF(COUNTIF($K$10:$K227,$K227)&gt;1,"DUPLICATE","No"))</f>
        <v/>
      </c>
      <c r="J227" s="45" t="str">
        <f t="shared" si="12"/>
        <v/>
      </c>
      <c r="K227" s="46" t="str">
        <f t="shared" si="13"/>
        <v/>
      </c>
      <c r="L227" s="47" t="str">
        <f t="shared" si="14"/>
        <v/>
      </c>
      <c r="M227" s="48" t="str">
        <f t="shared" si="15"/>
        <v/>
      </c>
    </row>
    <row r="228" spans="2:13" ht="12.95" customHeight="1" x14ac:dyDescent="0.25">
      <c r="B228" s="39"/>
      <c r="C228" s="37"/>
      <c r="D228" s="28"/>
      <c r="E228" s="35"/>
      <c r="F228" s="38"/>
      <c r="G228" s="38"/>
      <c r="H228" s="40"/>
      <c r="I228" s="41" t="str">
        <f>IF($E228="","",IF(COUNTIF($K$10:$K228,$K228)&gt;1,"DUPLICATE","No"))</f>
        <v/>
      </c>
      <c r="J228" s="41" t="str">
        <f t="shared" si="12"/>
        <v/>
      </c>
      <c r="K228" s="42" t="str">
        <f t="shared" si="13"/>
        <v/>
      </c>
      <c r="L228" s="43" t="str">
        <f t="shared" si="14"/>
        <v/>
      </c>
      <c r="M228" s="44" t="str">
        <f t="shared" si="15"/>
        <v/>
      </c>
    </row>
    <row r="229" spans="2:13" ht="12.95" customHeight="1" x14ac:dyDescent="0.25">
      <c r="B229" s="39"/>
      <c r="C229" s="37"/>
      <c r="D229" s="28"/>
      <c r="E229" s="35"/>
      <c r="F229" s="38"/>
      <c r="G229" s="38"/>
      <c r="H229" s="40"/>
      <c r="I229" s="45" t="str">
        <f>IF($E229="","",IF(COUNTIF($K$10:$K229,$K229)&gt;1,"DUPLICATE","No"))</f>
        <v/>
      </c>
      <c r="J229" s="45" t="str">
        <f t="shared" si="12"/>
        <v/>
      </c>
      <c r="K229" s="46" t="str">
        <f t="shared" si="13"/>
        <v/>
      </c>
      <c r="L229" s="47" t="str">
        <f t="shared" si="14"/>
        <v/>
      </c>
      <c r="M229" s="48" t="str">
        <f t="shared" si="15"/>
        <v/>
      </c>
    </row>
    <row r="230" spans="2:13" ht="12.95" customHeight="1" x14ac:dyDescent="0.25">
      <c r="B230" s="39"/>
      <c r="C230" s="37"/>
      <c r="D230" s="28"/>
      <c r="E230" s="35"/>
      <c r="F230" s="38"/>
      <c r="G230" s="38"/>
      <c r="H230" s="40"/>
      <c r="I230" s="41" t="str">
        <f>IF($E230="","",IF(COUNTIF($K$10:$K230,$K230)&gt;1,"DUPLICATE","No"))</f>
        <v/>
      </c>
      <c r="J230" s="41" t="str">
        <f t="shared" si="12"/>
        <v/>
      </c>
      <c r="K230" s="42" t="str">
        <f t="shared" si="13"/>
        <v/>
      </c>
      <c r="L230" s="43" t="str">
        <f t="shared" si="14"/>
        <v/>
      </c>
      <c r="M230" s="44" t="str">
        <f t="shared" si="15"/>
        <v/>
      </c>
    </row>
    <row r="231" spans="2:13" ht="12.95" customHeight="1" x14ac:dyDescent="0.25">
      <c r="B231" s="39"/>
      <c r="C231" s="37"/>
      <c r="D231" s="28"/>
      <c r="E231" s="35"/>
      <c r="F231" s="38"/>
      <c r="G231" s="38"/>
      <c r="H231" s="40"/>
      <c r="I231" s="45" t="str">
        <f>IF($E231="","",IF(COUNTIF($K$10:$K231,$K231)&gt;1,"DUPLICATE","No"))</f>
        <v/>
      </c>
      <c r="J231" s="45" t="str">
        <f t="shared" si="12"/>
        <v/>
      </c>
      <c r="K231" s="46" t="str">
        <f t="shared" si="13"/>
        <v/>
      </c>
      <c r="L231" s="47" t="str">
        <f t="shared" si="14"/>
        <v/>
      </c>
      <c r="M231" s="48" t="str">
        <f t="shared" si="15"/>
        <v/>
      </c>
    </row>
    <row r="232" spans="2:13" ht="12.95" customHeight="1" x14ac:dyDescent="0.25">
      <c r="B232" s="39"/>
      <c r="C232" s="37"/>
      <c r="D232" s="28"/>
      <c r="E232" s="35"/>
      <c r="F232" s="38"/>
      <c r="G232" s="38"/>
      <c r="H232" s="40"/>
      <c r="I232" s="41" t="str">
        <f>IF($E232="","",IF(COUNTIF($K$10:$K232,$K232)&gt;1,"DUPLICATE","No"))</f>
        <v/>
      </c>
      <c r="J232" s="41" t="str">
        <f t="shared" si="12"/>
        <v/>
      </c>
      <c r="K232" s="42" t="str">
        <f t="shared" si="13"/>
        <v/>
      </c>
      <c r="L232" s="43" t="str">
        <f t="shared" si="14"/>
        <v/>
      </c>
      <c r="M232" s="44" t="str">
        <f t="shared" si="15"/>
        <v/>
      </c>
    </row>
    <row r="233" spans="2:13" ht="12.95" customHeight="1" x14ac:dyDescent="0.25">
      <c r="B233" s="39"/>
      <c r="C233" s="37"/>
      <c r="D233" s="28"/>
      <c r="E233" s="35"/>
      <c r="F233" s="38"/>
      <c r="G233" s="38"/>
      <c r="H233" s="40"/>
      <c r="I233" s="45" t="str">
        <f>IF($E233="","",IF(COUNTIF($K$10:$K233,$K233)&gt;1,"DUPLICATE","No"))</f>
        <v/>
      </c>
      <c r="J233" s="45" t="str">
        <f t="shared" si="12"/>
        <v/>
      </c>
      <c r="K233" s="46" t="str">
        <f t="shared" si="13"/>
        <v/>
      </c>
      <c r="L233" s="47" t="str">
        <f t="shared" si="14"/>
        <v/>
      </c>
      <c r="M233" s="48" t="str">
        <f t="shared" si="15"/>
        <v/>
      </c>
    </row>
    <row r="234" spans="2:13" ht="12.95" customHeight="1" x14ac:dyDescent="0.25">
      <c r="B234" s="39"/>
      <c r="C234" s="37"/>
      <c r="D234" s="28"/>
      <c r="E234" s="35"/>
      <c r="F234" s="38"/>
      <c r="G234" s="38"/>
      <c r="H234" s="40"/>
      <c r="I234" s="41" t="str">
        <f>IF($E234="","",IF(COUNTIF($K$10:$K234,$K234)&gt;1,"DUPLICATE","No"))</f>
        <v/>
      </c>
      <c r="J234" s="41" t="str">
        <f t="shared" si="12"/>
        <v/>
      </c>
      <c r="K234" s="42" t="str">
        <f t="shared" si="13"/>
        <v/>
      </c>
      <c r="L234" s="43" t="str">
        <f t="shared" si="14"/>
        <v/>
      </c>
      <c r="M234" s="44" t="str">
        <f t="shared" si="15"/>
        <v/>
      </c>
    </row>
    <row r="235" spans="2:13" ht="12.95" customHeight="1" x14ac:dyDescent="0.25">
      <c r="B235" s="39"/>
      <c r="C235" s="37"/>
      <c r="D235" s="28"/>
      <c r="E235" s="35"/>
      <c r="F235" s="38"/>
      <c r="G235" s="38"/>
      <c r="H235" s="40"/>
      <c r="I235" s="45" t="str">
        <f>IF($E235="","",IF(COUNTIF($K$10:$K235,$K235)&gt;1,"DUPLICATE","No"))</f>
        <v/>
      </c>
      <c r="J235" s="45" t="str">
        <f t="shared" si="12"/>
        <v/>
      </c>
      <c r="K235" s="46" t="str">
        <f t="shared" si="13"/>
        <v/>
      </c>
      <c r="L235" s="47" t="str">
        <f t="shared" si="14"/>
        <v/>
      </c>
      <c r="M235" s="48" t="str">
        <f t="shared" si="15"/>
        <v/>
      </c>
    </row>
    <row r="236" spans="2:13" ht="12.95" customHeight="1" x14ac:dyDescent="0.25">
      <c r="B236" s="39"/>
      <c r="C236" s="37"/>
      <c r="D236" s="28"/>
      <c r="E236" s="35"/>
      <c r="F236" s="38"/>
      <c r="G236" s="38"/>
      <c r="H236" s="40"/>
      <c r="I236" s="41" t="str">
        <f>IF($E236="","",IF(COUNTIF($K$10:$K236,$K236)&gt;1,"DUPLICATE","No"))</f>
        <v/>
      </c>
      <c r="J236" s="41" t="str">
        <f t="shared" si="12"/>
        <v/>
      </c>
      <c r="K236" s="42" t="str">
        <f t="shared" si="13"/>
        <v/>
      </c>
      <c r="L236" s="43" t="str">
        <f t="shared" si="14"/>
        <v/>
      </c>
      <c r="M236" s="44" t="str">
        <f t="shared" si="15"/>
        <v/>
      </c>
    </row>
    <row r="237" spans="2:13" ht="12.95" customHeight="1" x14ac:dyDescent="0.25">
      <c r="B237" s="39"/>
      <c r="C237" s="37"/>
      <c r="D237" s="28"/>
      <c r="E237" s="35"/>
      <c r="F237" s="38"/>
      <c r="G237" s="38"/>
      <c r="H237" s="40"/>
      <c r="I237" s="45" t="str">
        <f>IF($E237="","",IF(COUNTIF($K$10:$K237,$K237)&gt;1,"DUPLICATE","No"))</f>
        <v/>
      </c>
      <c r="J237" s="45" t="str">
        <f t="shared" si="12"/>
        <v/>
      </c>
      <c r="K237" s="46" t="str">
        <f t="shared" si="13"/>
        <v/>
      </c>
      <c r="L237" s="47" t="str">
        <f t="shared" si="14"/>
        <v/>
      </c>
      <c r="M237" s="48" t="str">
        <f t="shared" si="15"/>
        <v/>
      </c>
    </row>
    <row r="238" spans="2:13" ht="12.95" customHeight="1" x14ac:dyDescent="0.25">
      <c r="B238" s="39"/>
      <c r="C238" s="37"/>
      <c r="D238" s="28"/>
      <c r="E238" s="35"/>
      <c r="F238" s="38"/>
      <c r="G238" s="38"/>
      <c r="H238" s="40"/>
      <c r="I238" s="41" t="str">
        <f>IF($E238="","",IF(COUNTIF($K$10:$K238,$K238)&gt;1,"DUPLICATE","No"))</f>
        <v/>
      </c>
      <c r="J238" s="41" t="str">
        <f t="shared" si="12"/>
        <v/>
      </c>
      <c r="K238" s="42" t="str">
        <f t="shared" si="13"/>
        <v/>
      </c>
      <c r="L238" s="43" t="str">
        <f t="shared" si="14"/>
        <v/>
      </c>
      <c r="M238" s="44" t="str">
        <f t="shared" si="15"/>
        <v/>
      </c>
    </row>
    <row r="239" spans="2:13" ht="12.95" customHeight="1" x14ac:dyDescent="0.25">
      <c r="B239" s="39"/>
      <c r="C239" s="37"/>
      <c r="D239" s="28"/>
      <c r="E239" s="35"/>
      <c r="F239" s="38"/>
      <c r="G239" s="38"/>
      <c r="H239" s="40"/>
      <c r="I239" s="45" t="str">
        <f>IF($E239="","",IF(COUNTIF($K$10:$K239,$K239)&gt;1,"DUPLICATE","No"))</f>
        <v/>
      </c>
      <c r="J239" s="45" t="str">
        <f t="shared" si="12"/>
        <v/>
      </c>
      <c r="K239" s="46" t="str">
        <f t="shared" si="13"/>
        <v/>
      </c>
      <c r="L239" s="47" t="str">
        <f t="shared" si="14"/>
        <v/>
      </c>
      <c r="M239" s="48" t="str">
        <f t="shared" si="15"/>
        <v/>
      </c>
    </row>
    <row r="240" spans="2:13" ht="12.95" customHeight="1" x14ac:dyDescent="0.25">
      <c r="B240" s="39"/>
      <c r="C240" s="37"/>
      <c r="D240" s="28"/>
      <c r="E240" s="35"/>
      <c r="F240" s="38"/>
      <c r="G240" s="38"/>
      <c r="H240" s="40"/>
      <c r="I240" s="41" t="str">
        <f>IF($E240="","",IF(COUNTIF($K$10:$K240,$K240)&gt;1,"DUPLICATE","No"))</f>
        <v/>
      </c>
      <c r="J240" s="41" t="str">
        <f t="shared" si="12"/>
        <v/>
      </c>
      <c r="K240" s="42" t="str">
        <f t="shared" si="13"/>
        <v/>
      </c>
      <c r="L240" s="43" t="str">
        <f t="shared" si="14"/>
        <v/>
      </c>
      <c r="M240" s="44" t="str">
        <f t="shared" si="15"/>
        <v/>
      </c>
    </row>
    <row r="241" spans="2:13" ht="12.95" customHeight="1" x14ac:dyDescent="0.25">
      <c r="B241" s="39"/>
      <c r="C241" s="37"/>
      <c r="D241" s="28"/>
      <c r="E241" s="35"/>
      <c r="F241" s="38"/>
      <c r="G241" s="38"/>
      <c r="H241" s="40"/>
      <c r="I241" s="45" t="str">
        <f>IF($E241="","",IF(COUNTIF($K$10:$K241,$K241)&gt;1,"DUPLICATE","No"))</f>
        <v/>
      </c>
      <c r="J241" s="45" t="str">
        <f t="shared" si="12"/>
        <v/>
      </c>
      <c r="K241" s="46" t="str">
        <f t="shared" si="13"/>
        <v/>
      </c>
      <c r="L241" s="47" t="str">
        <f t="shared" si="14"/>
        <v/>
      </c>
      <c r="M241" s="48" t="str">
        <f t="shared" si="15"/>
        <v/>
      </c>
    </row>
    <row r="242" spans="2:13" ht="12.95" customHeight="1" x14ac:dyDescent="0.25">
      <c r="B242" s="39"/>
      <c r="C242" s="37"/>
      <c r="D242" s="28"/>
      <c r="E242" s="35"/>
      <c r="F242" s="38"/>
      <c r="G242" s="38"/>
      <c r="H242" s="40"/>
      <c r="I242" s="41" t="str">
        <f>IF($E242="","",IF(COUNTIF($K$10:$K242,$K242)&gt;1,"DUPLICATE","No"))</f>
        <v/>
      </c>
      <c r="J242" s="41" t="str">
        <f t="shared" si="12"/>
        <v/>
      </c>
      <c r="K242" s="42" t="str">
        <f t="shared" si="13"/>
        <v/>
      </c>
      <c r="L242" s="43" t="str">
        <f t="shared" si="14"/>
        <v/>
      </c>
      <c r="M242" s="44" t="str">
        <f t="shared" si="15"/>
        <v/>
      </c>
    </row>
    <row r="243" spans="2:13" ht="12.95" customHeight="1" x14ac:dyDescent="0.25">
      <c r="B243" s="39"/>
      <c r="C243" s="37"/>
      <c r="D243" s="28"/>
      <c r="E243" s="35"/>
      <c r="F243" s="38"/>
      <c r="G243" s="38"/>
      <c r="H243" s="40"/>
      <c r="I243" s="45" t="str">
        <f>IF($E243="","",IF(COUNTIF($K$10:$K243,$K243)&gt;1,"DUPLICATE","No"))</f>
        <v/>
      </c>
      <c r="J243" s="45" t="str">
        <f t="shared" si="12"/>
        <v/>
      </c>
      <c r="K243" s="46" t="str">
        <f t="shared" si="13"/>
        <v/>
      </c>
      <c r="L243" s="47" t="str">
        <f t="shared" si="14"/>
        <v/>
      </c>
      <c r="M243" s="48" t="str">
        <f t="shared" si="15"/>
        <v/>
      </c>
    </row>
    <row r="244" spans="2:13" ht="12.95" customHeight="1" x14ac:dyDescent="0.25">
      <c r="B244" s="39"/>
      <c r="C244" s="37"/>
      <c r="D244" s="28"/>
      <c r="E244" s="35"/>
      <c r="F244" s="38"/>
      <c r="G244" s="38"/>
      <c r="H244" s="40"/>
      <c r="I244" s="41" t="str">
        <f>IF($E244="","",IF(COUNTIF($K$10:$K244,$K244)&gt;1,"DUPLICATE","No"))</f>
        <v/>
      </c>
      <c r="J244" s="41" t="str">
        <f t="shared" si="12"/>
        <v/>
      </c>
      <c r="K244" s="42" t="str">
        <f t="shared" si="13"/>
        <v/>
      </c>
      <c r="L244" s="43" t="str">
        <f t="shared" si="14"/>
        <v/>
      </c>
      <c r="M244" s="44" t="str">
        <f t="shared" si="15"/>
        <v/>
      </c>
    </row>
    <row r="245" spans="2:13" ht="12.95" customHeight="1" x14ac:dyDescent="0.25">
      <c r="B245" s="39"/>
      <c r="C245" s="37"/>
      <c r="D245" s="28"/>
      <c r="E245" s="35"/>
      <c r="F245" s="38"/>
      <c r="G245" s="38"/>
      <c r="H245" s="40"/>
      <c r="I245" s="45" t="str">
        <f>IF($E245="","",IF(COUNTIF($K$10:$K245,$K245)&gt;1,"DUPLICATE","No"))</f>
        <v/>
      </c>
      <c r="J245" s="45" t="str">
        <f t="shared" si="12"/>
        <v/>
      </c>
      <c r="K245" s="46" t="str">
        <f t="shared" si="13"/>
        <v/>
      </c>
      <c r="L245" s="47" t="str">
        <f t="shared" si="14"/>
        <v/>
      </c>
      <c r="M245" s="48" t="str">
        <f t="shared" si="15"/>
        <v/>
      </c>
    </row>
    <row r="246" spans="2:13" ht="12.95" customHeight="1" x14ac:dyDescent="0.25">
      <c r="B246" s="39"/>
      <c r="C246" s="37"/>
      <c r="D246" s="28"/>
      <c r="E246" s="35"/>
      <c r="F246" s="38"/>
      <c r="G246" s="38"/>
      <c r="H246" s="40"/>
      <c r="I246" s="41" t="str">
        <f>IF($E246="","",IF(COUNTIF($K$10:$K246,$K246)&gt;1,"DUPLICATE","No"))</f>
        <v/>
      </c>
      <c r="J246" s="41" t="str">
        <f t="shared" si="12"/>
        <v/>
      </c>
      <c r="K246" s="42" t="str">
        <f t="shared" si="13"/>
        <v/>
      </c>
      <c r="L246" s="43" t="str">
        <f t="shared" si="14"/>
        <v/>
      </c>
      <c r="M246" s="44" t="str">
        <f t="shared" si="15"/>
        <v/>
      </c>
    </row>
    <row r="247" spans="2:13" ht="12.95" customHeight="1" x14ac:dyDescent="0.25">
      <c r="B247" s="39"/>
      <c r="C247" s="37"/>
      <c r="D247" s="28"/>
      <c r="E247" s="35"/>
      <c r="F247" s="38"/>
      <c r="G247" s="38"/>
      <c r="H247" s="40"/>
      <c r="I247" s="45" t="str">
        <f>IF($E247="","",IF(COUNTIF($K$10:$K247,$K247)&gt;1,"DUPLICATE","No"))</f>
        <v/>
      </c>
      <c r="J247" s="45" t="str">
        <f t="shared" si="12"/>
        <v/>
      </c>
      <c r="K247" s="46" t="str">
        <f t="shared" si="13"/>
        <v/>
      </c>
      <c r="L247" s="47" t="str">
        <f t="shared" si="14"/>
        <v/>
      </c>
      <c r="M247" s="48" t="str">
        <f t="shared" si="15"/>
        <v/>
      </c>
    </row>
    <row r="248" spans="2:13" ht="12.95" customHeight="1" x14ac:dyDescent="0.25">
      <c r="B248" s="39"/>
      <c r="C248" s="37"/>
      <c r="D248" s="28"/>
      <c r="E248" s="35"/>
      <c r="F248" s="38"/>
      <c r="G248" s="38"/>
      <c r="H248" s="40"/>
      <c r="I248" s="41" t="str">
        <f>IF($E248="","",IF(COUNTIF($K$10:$K248,$K248)&gt;1,"DUPLICATE","No"))</f>
        <v/>
      </c>
      <c r="J248" s="41" t="str">
        <f t="shared" si="12"/>
        <v/>
      </c>
      <c r="K248" s="42" t="str">
        <f t="shared" si="13"/>
        <v/>
      </c>
      <c r="L248" s="43" t="str">
        <f t="shared" si="14"/>
        <v/>
      </c>
      <c r="M248" s="44" t="str">
        <f t="shared" si="15"/>
        <v/>
      </c>
    </row>
    <row r="249" spans="2:13" ht="12.95" customHeight="1" x14ac:dyDescent="0.25">
      <c r="B249" s="39"/>
      <c r="C249" s="37"/>
      <c r="D249" s="28"/>
      <c r="E249" s="35"/>
      <c r="F249" s="38"/>
      <c r="G249" s="38"/>
      <c r="H249" s="40"/>
      <c r="I249" s="45" t="str">
        <f>IF($E249="","",IF(COUNTIF($K$10:$K249,$K249)&gt;1,"DUPLICATE","No"))</f>
        <v/>
      </c>
      <c r="J249" s="45" t="str">
        <f t="shared" si="12"/>
        <v/>
      </c>
      <c r="K249" s="46" t="str">
        <f t="shared" si="13"/>
        <v/>
      </c>
      <c r="L249" s="47" t="str">
        <f t="shared" si="14"/>
        <v/>
      </c>
      <c r="M249" s="48" t="str">
        <f t="shared" si="15"/>
        <v/>
      </c>
    </row>
    <row r="250" spans="2:13" ht="12.95" customHeight="1" x14ac:dyDescent="0.25">
      <c r="B250" s="39"/>
      <c r="C250" s="37"/>
      <c r="D250" s="28"/>
      <c r="E250" s="35"/>
      <c r="F250" s="38"/>
      <c r="G250" s="38"/>
      <c r="H250" s="40"/>
      <c r="I250" s="41" t="str">
        <f>IF($E250="","",IF(COUNTIF($K$10:$K250,$K250)&gt;1,"DUPLICATE","No"))</f>
        <v/>
      </c>
      <c r="J250" s="41" t="str">
        <f t="shared" si="12"/>
        <v/>
      </c>
      <c r="K250" s="42" t="str">
        <f t="shared" si="13"/>
        <v/>
      </c>
      <c r="L250" s="43" t="str">
        <f t="shared" si="14"/>
        <v/>
      </c>
      <c r="M250" s="44" t="str">
        <f t="shared" si="15"/>
        <v/>
      </c>
    </row>
    <row r="251" spans="2:13" ht="12.95" customHeight="1" x14ac:dyDescent="0.25">
      <c r="B251" s="39"/>
      <c r="C251" s="37"/>
      <c r="D251" s="28"/>
      <c r="E251" s="35"/>
      <c r="F251" s="38"/>
      <c r="G251" s="38"/>
      <c r="H251" s="40"/>
      <c r="I251" s="45" t="str">
        <f>IF($E251="","",IF(COUNTIF($K$10:$K251,$K251)&gt;1,"DUPLICATE","No"))</f>
        <v/>
      </c>
      <c r="J251" s="45" t="str">
        <f t="shared" si="12"/>
        <v/>
      </c>
      <c r="K251" s="46" t="str">
        <f t="shared" si="13"/>
        <v/>
      </c>
      <c r="L251" s="47" t="str">
        <f t="shared" si="14"/>
        <v/>
      </c>
      <c r="M251" s="48" t="str">
        <f t="shared" si="15"/>
        <v/>
      </c>
    </row>
    <row r="252" spans="2:13" ht="12.95" customHeight="1" x14ac:dyDescent="0.25">
      <c r="B252" s="39"/>
      <c r="C252" s="37"/>
      <c r="D252" s="28"/>
      <c r="E252" s="35"/>
      <c r="F252" s="38"/>
      <c r="G252" s="38"/>
      <c r="H252" s="40"/>
      <c r="I252" s="41" t="str">
        <f>IF($E252="","",IF(COUNTIF($K$10:$K252,$K252)&gt;1,"DUPLICATE","No"))</f>
        <v/>
      </c>
      <c r="J252" s="41" t="str">
        <f t="shared" si="12"/>
        <v/>
      </c>
      <c r="K252" s="42" t="str">
        <f t="shared" si="13"/>
        <v/>
      </c>
      <c r="L252" s="43" t="str">
        <f t="shared" si="14"/>
        <v/>
      </c>
      <c r="M252" s="44" t="str">
        <f t="shared" si="15"/>
        <v/>
      </c>
    </row>
    <row r="253" spans="2:13" ht="12.95" customHeight="1" x14ac:dyDescent="0.25">
      <c r="B253" s="39"/>
      <c r="C253" s="37"/>
      <c r="D253" s="28"/>
      <c r="E253" s="35"/>
      <c r="F253" s="38"/>
      <c r="G253" s="38"/>
      <c r="H253" s="40"/>
      <c r="I253" s="45" t="str">
        <f>IF($E253="","",IF(COUNTIF($K$10:$K253,$K253)&gt;1,"DUPLICATE","No"))</f>
        <v/>
      </c>
      <c r="J253" s="45" t="str">
        <f t="shared" si="12"/>
        <v/>
      </c>
      <c r="K253" s="46" t="str">
        <f t="shared" si="13"/>
        <v/>
      </c>
      <c r="L253" s="47" t="str">
        <f t="shared" si="14"/>
        <v/>
      </c>
      <c r="M253" s="48" t="str">
        <f t="shared" si="15"/>
        <v/>
      </c>
    </row>
    <row r="254" spans="2:13" ht="12.95" customHeight="1" x14ac:dyDescent="0.25">
      <c r="B254" s="39"/>
      <c r="C254" s="37"/>
      <c r="D254" s="28"/>
      <c r="E254" s="35"/>
      <c r="F254" s="38"/>
      <c r="G254" s="38"/>
      <c r="H254" s="40"/>
      <c r="I254" s="41" t="str">
        <f>IF($E254="","",IF(COUNTIF($K$10:$K254,$K254)&gt;1,"DUPLICATE","No"))</f>
        <v/>
      </c>
      <c r="J254" s="41" t="str">
        <f t="shared" si="12"/>
        <v/>
      </c>
      <c r="K254" s="42" t="str">
        <f t="shared" si="13"/>
        <v/>
      </c>
      <c r="L254" s="43" t="str">
        <f t="shared" si="14"/>
        <v/>
      </c>
      <c r="M254" s="44" t="str">
        <f t="shared" si="15"/>
        <v/>
      </c>
    </row>
    <row r="255" spans="2:13" ht="12.95" customHeight="1" x14ac:dyDescent="0.25">
      <c r="B255" s="39"/>
      <c r="C255" s="37"/>
      <c r="D255" s="28"/>
      <c r="E255" s="35"/>
      <c r="F255" s="38"/>
      <c r="G255" s="38"/>
      <c r="H255" s="40"/>
      <c r="I255" s="45" t="str">
        <f>IF($E255="","",IF(COUNTIF($K$10:$K255,$K255)&gt;1,"DUPLICATE","No"))</f>
        <v/>
      </c>
      <c r="J255" s="45" t="str">
        <f t="shared" si="12"/>
        <v/>
      </c>
      <c r="K255" s="46" t="str">
        <f t="shared" si="13"/>
        <v/>
      </c>
      <c r="L255" s="47" t="str">
        <f t="shared" si="14"/>
        <v/>
      </c>
      <c r="M255" s="48" t="str">
        <f t="shared" si="15"/>
        <v/>
      </c>
    </row>
    <row r="256" spans="2:13" ht="12.95" customHeight="1" x14ac:dyDescent="0.25">
      <c r="B256" s="39"/>
      <c r="C256" s="37"/>
      <c r="D256" s="28"/>
      <c r="E256" s="35"/>
      <c r="F256" s="38"/>
      <c r="G256" s="38"/>
      <c r="H256" s="40"/>
      <c r="I256" s="41" t="str">
        <f>IF($E256="","",IF(COUNTIF($K$10:$K256,$K256)&gt;1,"DUPLICATE","No"))</f>
        <v/>
      </c>
      <c r="J256" s="41" t="str">
        <f t="shared" si="12"/>
        <v/>
      </c>
      <c r="K256" s="42" t="str">
        <f t="shared" si="13"/>
        <v/>
      </c>
      <c r="L256" s="43" t="str">
        <f t="shared" si="14"/>
        <v/>
      </c>
      <c r="M256" s="44" t="str">
        <f t="shared" si="15"/>
        <v/>
      </c>
    </row>
    <row r="257" spans="2:13" ht="12.95" customHeight="1" x14ac:dyDescent="0.25">
      <c r="B257" s="39"/>
      <c r="C257" s="37"/>
      <c r="D257" s="28"/>
      <c r="E257" s="35"/>
      <c r="F257" s="38"/>
      <c r="G257" s="38"/>
      <c r="H257" s="40"/>
      <c r="I257" s="45" t="str">
        <f>IF($E257="","",IF(COUNTIF($K$10:$K257,$K257)&gt;1,"DUPLICATE","No"))</f>
        <v/>
      </c>
      <c r="J257" s="45" t="str">
        <f t="shared" si="12"/>
        <v/>
      </c>
      <c r="K257" s="46" t="str">
        <f t="shared" si="13"/>
        <v/>
      </c>
      <c r="L257" s="47" t="str">
        <f t="shared" si="14"/>
        <v/>
      </c>
      <c r="M257" s="48" t="str">
        <f t="shared" si="15"/>
        <v/>
      </c>
    </row>
    <row r="258" spans="2:13" ht="12.95" customHeight="1" x14ac:dyDescent="0.25">
      <c r="B258" s="39"/>
      <c r="C258" s="37"/>
      <c r="D258" s="28"/>
      <c r="E258" s="35"/>
      <c r="F258" s="38"/>
      <c r="G258" s="38"/>
      <c r="H258" s="40"/>
      <c r="I258" s="41" t="str">
        <f>IF($E258="","",IF(COUNTIF($K$10:$K258,$K258)&gt;1,"DUPLICATE","No"))</f>
        <v/>
      </c>
      <c r="J258" s="41" t="str">
        <f t="shared" si="12"/>
        <v/>
      </c>
      <c r="K258" s="42" t="str">
        <f t="shared" si="13"/>
        <v/>
      </c>
      <c r="L258" s="43" t="str">
        <f t="shared" si="14"/>
        <v/>
      </c>
      <c r="M258" s="44" t="str">
        <f t="shared" si="15"/>
        <v/>
      </c>
    </row>
    <row r="259" spans="2:13" ht="12.95" customHeight="1" x14ac:dyDescent="0.25">
      <c r="B259" s="39"/>
      <c r="C259" s="37"/>
      <c r="D259" s="28"/>
      <c r="E259" s="35"/>
      <c r="F259" s="38"/>
      <c r="G259" s="38"/>
      <c r="H259" s="40"/>
      <c r="I259" s="45" t="str">
        <f>IF($E259="","",IF(COUNTIF($K$10:$K259,$K259)&gt;1,"DUPLICATE","No"))</f>
        <v/>
      </c>
      <c r="J259" s="45" t="str">
        <f t="shared" si="12"/>
        <v/>
      </c>
      <c r="K259" s="46" t="str">
        <f t="shared" si="13"/>
        <v/>
      </c>
      <c r="L259" s="47" t="str">
        <f t="shared" si="14"/>
        <v/>
      </c>
      <c r="M259" s="48" t="str">
        <f t="shared" si="15"/>
        <v/>
      </c>
    </row>
    <row r="260" spans="2:13" ht="12.95" customHeight="1" x14ac:dyDescent="0.25">
      <c r="B260" s="39"/>
      <c r="C260" s="37"/>
      <c r="D260" s="28"/>
      <c r="E260" s="35"/>
      <c r="F260" s="38"/>
      <c r="G260" s="38"/>
      <c r="H260" s="40"/>
      <c r="I260" s="41" t="str">
        <f>IF($E260="","",IF(COUNTIF($K$10:$K260,$K260)&gt;1,"DUPLICATE","No"))</f>
        <v/>
      </c>
      <c r="J260" s="41" t="str">
        <f t="shared" si="12"/>
        <v/>
      </c>
      <c r="K260" s="42" t="str">
        <f t="shared" si="13"/>
        <v/>
      </c>
      <c r="L260" s="43" t="str">
        <f t="shared" si="14"/>
        <v/>
      </c>
      <c r="M260" s="44" t="str">
        <f t="shared" si="15"/>
        <v/>
      </c>
    </row>
    <row r="261" spans="2:13" ht="12.95" customHeight="1" x14ac:dyDescent="0.25">
      <c r="B261" s="39"/>
      <c r="C261" s="37"/>
      <c r="D261" s="28"/>
      <c r="E261" s="35"/>
      <c r="F261" s="38"/>
      <c r="G261" s="38"/>
      <c r="H261" s="40"/>
      <c r="I261" s="45" t="str">
        <f>IF($E261="","",IF(COUNTIF($K$10:$K261,$K261)&gt;1,"DUPLICATE","No"))</f>
        <v/>
      </c>
      <c r="J261" s="45" t="str">
        <f t="shared" si="12"/>
        <v/>
      </c>
      <c r="K261" s="46" t="str">
        <f t="shared" si="13"/>
        <v/>
      </c>
      <c r="L261" s="47" t="str">
        <f t="shared" si="14"/>
        <v/>
      </c>
      <c r="M261" s="48" t="str">
        <f t="shared" si="15"/>
        <v/>
      </c>
    </row>
    <row r="262" spans="2:13" ht="12.95" customHeight="1" x14ac:dyDescent="0.25">
      <c r="B262" s="39"/>
      <c r="C262" s="37"/>
      <c r="D262" s="28"/>
      <c r="E262" s="35"/>
      <c r="F262" s="38"/>
      <c r="G262" s="38"/>
      <c r="H262" s="40"/>
      <c r="I262" s="41" t="str">
        <f>IF($E262="","",IF(COUNTIF($K$10:$K262,$K262)&gt;1,"DUPLICATE","No"))</f>
        <v/>
      </c>
      <c r="J262" s="41" t="str">
        <f t="shared" si="12"/>
        <v/>
      </c>
      <c r="K262" s="42" t="str">
        <f t="shared" si="13"/>
        <v/>
      </c>
      <c r="L262" s="43" t="str">
        <f t="shared" si="14"/>
        <v/>
      </c>
      <c r="M262" s="44" t="str">
        <f t="shared" si="15"/>
        <v/>
      </c>
    </row>
    <row r="263" spans="2:13" ht="12.95" customHeight="1" x14ac:dyDescent="0.25">
      <c r="B263" s="39"/>
      <c r="C263" s="37"/>
      <c r="D263" s="28"/>
      <c r="E263" s="35"/>
      <c r="F263" s="38"/>
      <c r="G263" s="38"/>
      <c r="H263" s="40"/>
      <c r="I263" s="45" t="str">
        <f>IF($E263="","",IF(COUNTIF($K$10:$K263,$K263)&gt;1,"DUPLICATE","No"))</f>
        <v/>
      </c>
      <c r="J263" s="45" t="str">
        <f t="shared" si="12"/>
        <v/>
      </c>
      <c r="K263" s="46" t="str">
        <f t="shared" si="13"/>
        <v/>
      </c>
      <c r="L263" s="47" t="str">
        <f t="shared" si="14"/>
        <v/>
      </c>
      <c r="M263" s="48" t="str">
        <f t="shared" si="15"/>
        <v/>
      </c>
    </row>
    <row r="264" spans="2:13" ht="12.95" customHeight="1" x14ac:dyDescent="0.25">
      <c r="B264" s="39"/>
      <c r="C264" s="37"/>
      <c r="D264" s="28"/>
      <c r="E264" s="35"/>
      <c r="F264" s="38"/>
      <c r="G264" s="38"/>
      <c r="H264" s="40"/>
      <c r="I264" s="41" t="str">
        <f>IF($E264="","",IF(COUNTIF($K$10:$K264,$K264)&gt;1,"DUPLICATE","No"))</f>
        <v/>
      </c>
      <c r="J264" s="41" t="str">
        <f t="shared" si="12"/>
        <v/>
      </c>
      <c r="K264" s="42" t="str">
        <f t="shared" si="13"/>
        <v/>
      </c>
      <c r="L264" s="43" t="str">
        <f t="shared" si="14"/>
        <v/>
      </c>
      <c r="M264" s="44" t="str">
        <f t="shared" si="15"/>
        <v/>
      </c>
    </row>
    <row r="265" spans="2:13" ht="12.95" customHeight="1" x14ac:dyDescent="0.25">
      <c r="B265" s="39"/>
      <c r="C265" s="37"/>
      <c r="D265" s="28"/>
      <c r="E265" s="35"/>
      <c r="F265" s="38"/>
      <c r="G265" s="38"/>
      <c r="H265" s="40"/>
      <c r="I265" s="45" t="str">
        <f>IF($E265="","",IF(COUNTIF($K$10:$K265,$K265)&gt;1,"DUPLICATE","No"))</f>
        <v/>
      </c>
      <c r="J265" s="45" t="str">
        <f t="shared" si="12"/>
        <v/>
      </c>
      <c r="K265" s="46" t="str">
        <f t="shared" si="13"/>
        <v/>
      </c>
      <c r="L265" s="47" t="str">
        <f t="shared" si="14"/>
        <v/>
      </c>
      <c r="M265" s="48" t="str">
        <f t="shared" si="15"/>
        <v/>
      </c>
    </row>
    <row r="266" spans="2:13" ht="12.95" customHeight="1" x14ac:dyDescent="0.25">
      <c r="B266" s="39"/>
      <c r="C266" s="37"/>
      <c r="D266" s="28"/>
      <c r="E266" s="35"/>
      <c r="F266" s="38"/>
      <c r="G266" s="38"/>
      <c r="H266" s="40"/>
      <c r="I266" s="41" t="str">
        <f>IF($E266="","",IF(COUNTIF($K$10:$K266,$K266)&gt;1,"DUPLICATE","No"))</f>
        <v/>
      </c>
      <c r="J266" s="41" t="str">
        <f t="shared" ref="J266:J329" si="16">IF($E266="","",IF(SUMPRODUCT(--(Txn_Acct=$D266),--(Txn_Date=$C266),--(Txn_Desc=$E266),--(ROUND(Txn_In+0,2)=ROUND(N($F266),2)),--(ROUND(Txn_Out+0,2)=ROUND(N($G266),2)))&gt;0,"ALREADY IN LEDGER","No"))</f>
        <v/>
      </c>
      <c r="K266" s="42" t="str">
        <f t="shared" ref="K266:K329" si="17">IF($E266="","",UPPER(TRIM($D266))&amp;"|"&amp;TEXT($C266,"yyyy-mm-dd")&amp;"|"&amp;UPPER(TRIM($E266))&amp;"|"&amp;TEXT(ROUND(N($F266),2),"0.00")&amp;"|"&amp;TEXT(ROUND(N($G266),2),"0.00"))</f>
        <v/>
      </c>
      <c r="L266" s="43" t="str">
        <f t="shared" ref="L266:L329" si="18">IF($E266="","",TRIM(IF($D266="","Missing account. ",IF(COUNTIF(Acct_Name,$D266)=0,"Unknown account. ",""))&amp;IF($C266="","Missing date. ",IF(NOT(ISNUMBER($C266)),"Invalid date. ",IF(AND(N($F$7)&gt;0,N($H$7)&gt;0,OR($C266&lt;$F$7,$C266&gt;$H$7)),"Outside statement period. ","")))&amp;IF(AND(N($F266)&gt;0,N($G266)&gt;0),"Both Money In and Money Out populated. ","")&amp;IF(AND(N($F266)=0,N($G266)=0),"No amount. ","")&amp;IF(OR(N($F266)&lt;0,N($G266)&lt;0),"Negative amount. ","")&amp;IF($B266="","Batch ID missing on this row - fill it down from B7. ","")&amp;IF(OR($B$7="",$D$7=""),"Batch header incomplete - fill in B7 and D7. ","")&amp;IF(OR(N($F$7)=0,N($H$7)=0),"Statement period missing on the header - the date check is OFF. ","")&amp;IF(AND(N($J$7)=0,N($L$7)=0),"Statement totals missing on the header - the tie-out is OFF. ","")))</f>
        <v/>
      </c>
      <c r="M266" s="44" t="str">
        <f t="shared" ref="M266:M329" si="19">IF($E266="","",IF(AND($L266="",$I266="No",$J266="ALREADY IN LEDGER"),"POSTED",IF(AND($L266="",$I266="No",$J266="No"),"Yes","NO")))</f>
        <v/>
      </c>
    </row>
    <row r="267" spans="2:13" ht="12.95" customHeight="1" x14ac:dyDescent="0.25">
      <c r="B267" s="39"/>
      <c r="C267" s="37"/>
      <c r="D267" s="28"/>
      <c r="E267" s="35"/>
      <c r="F267" s="38"/>
      <c r="G267" s="38"/>
      <c r="H267" s="40"/>
      <c r="I267" s="45" t="str">
        <f>IF($E267="","",IF(COUNTIF($K$10:$K267,$K267)&gt;1,"DUPLICATE","No"))</f>
        <v/>
      </c>
      <c r="J267" s="45" t="str">
        <f t="shared" si="16"/>
        <v/>
      </c>
      <c r="K267" s="46" t="str">
        <f t="shared" si="17"/>
        <v/>
      </c>
      <c r="L267" s="47" t="str">
        <f t="shared" si="18"/>
        <v/>
      </c>
      <c r="M267" s="48" t="str">
        <f t="shared" si="19"/>
        <v/>
      </c>
    </row>
    <row r="268" spans="2:13" ht="12.95" customHeight="1" x14ac:dyDescent="0.25">
      <c r="B268" s="39"/>
      <c r="C268" s="37"/>
      <c r="D268" s="28"/>
      <c r="E268" s="35"/>
      <c r="F268" s="38"/>
      <c r="G268" s="38"/>
      <c r="H268" s="40"/>
      <c r="I268" s="41" t="str">
        <f>IF($E268="","",IF(COUNTIF($K$10:$K268,$K268)&gt;1,"DUPLICATE","No"))</f>
        <v/>
      </c>
      <c r="J268" s="41" t="str">
        <f t="shared" si="16"/>
        <v/>
      </c>
      <c r="K268" s="42" t="str">
        <f t="shared" si="17"/>
        <v/>
      </c>
      <c r="L268" s="43" t="str">
        <f t="shared" si="18"/>
        <v/>
      </c>
      <c r="M268" s="44" t="str">
        <f t="shared" si="19"/>
        <v/>
      </c>
    </row>
    <row r="269" spans="2:13" ht="12.95" customHeight="1" x14ac:dyDescent="0.25">
      <c r="B269" s="39"/>
      <c r="C269" s="37"/>
      <c r="D269" s="28"/>
      <c r="E269" s="35"/>
      <c r="F269" s="38"/>
      <c r="G269" s="38"/>
      <c r="H269" s="40"/>
      <c r="I269" s="45" t="str">
        <f>IF($E269="","",IF(COUNTIF($K$10:$K269,$K269)&gt;1,"DUPLICATE","No"))</f>
        <v/>
      </c>
      <c r="J269" s="45" t="str">
        <f t="shared" si="16"/>
        <v/>
      </c>
      <c r="K269" s="46" t="str">
        <f t="shared" si="17"/>
        <v/>
      </c>
      <c r="L269" s="47" t="str">
        <f t="shared" si="18"/>
        <v/>
      </c>
      <c r="M269" s="48" t="str">
        <f t="shared" si="19"/>
        <v/>
      </c>
    </row>
    <row r="270" spans="2:13" ht="12.95" customHeight="1" x14ac:dyDescent="0.25">
      <c r="B270" s="39"/>
      <c r="C270" s="37"/>
      <c r="D270" s="28"/>
      <c r="E270" s="35"/>
      <c r="F270" s="38"/>
      <c r="G270" s="38"/>
      <c r="H270" s="40"/>
      <c r="I270" s="41" t="str">
        <f>IF($E270="","",IF(COUNTIF($K$10:$K270,$K270)&gt;1,"DUPLICATE","No"))</f>
        <v/>
      </c>
      <c r="J270" s="41" t="str">
        <f t="shared" si="16"/>
        <v/>
      </c>
      <c r="K270" s="42" t="str">
        <f t="shared" si="17"/>
        <v/>
      </c>
      <c r="L270" s="43" t="str">
        <f t="shared" si="18"/>
        <v/>
      </c>
      <c r="M270" s="44" t="str">
        <f t="shared" si="19"/>
        <v/>
      </c>
    </row>
    <row r="271" spans="2:13" ht="12.95" customHeight="1" x14ac:dyDescent="0.25">
      <c r="B271" s="39"/>
      <c r="C271" s="37"/>
      <c r="D271" s="28"/>
      <c r="E271" s="35"/>
      <c r="F271" s="38"/>
      <c r="G271" s="38"/>
      <c r="H271" s="40"/>
      <c r="I271" s="45" t="str">
        <f>IF($E271="","",IF(COUNTIF($K$10:$K271,$K271)&gt;1,"DUPLICATE","No"))</f>
        <v/>
      </c>
      <c r="J271" s="45" t="str">
        <f t="shared" si="16"/>
        <v/>
      </c>
      <c r="K271" s="46" t="str">
        <f t="shared" si="17"/>
        <v/>
      </c>
      <c r="L271" s="47" t="str">
        <f t="shared" si="18"/>
        <v/>
      </c>
      <c r="M271" s="48" t="str">
        <f t="shared" si="19"/>
        <v/>
      </c>
    </row>
    <row r="272" spans="2:13" ht="12.95" customHeight="1" x14ac:dyDescent="0.25">
      <c r="B272" s="39"/>
      <c r="C272" s="37"/>
      <c r="D272" s="28"/>
      <c r="E272" s="35"/>
      <c r="F272" s="38"/>
      <c r="G272" s="38"/>
      <c r="H272" s="40"/>
      <c r="I272" s="41" t="str">
        <f>IF($E272="","",IF(COUNTIF($K$10:$K272,$K272)&gt;1,"DUPLICATE","No"))</f>
        <v/>
      </c>
      <c r="J272" s="41" t="str">
        <f t="shared" si="16"/>
        <v/>
      </c>
      <c r="K272" s="42" t="str">
        <f t="shared" si="17"/>
        <v/>
      </c>
      <c r="L272" s="43" t="str">
        <f t="shared" si="18"/>
        <v/>
      </c>
      <c r="M272" s="44" t="str">
        <f t="shared" si="19"/>
        <v/>
      </c>
    </row>
    <row r="273" spans="2:13" ht="12.95" customHeight="1" x14ac:dyDescent="0.25">
      <c r="B273" s="39"/>
      <c r="C273" s="37"/>
      <c r="D273" s="28"/>
      <c r="E273" s="35"/>
      <c r="F273" s="38"/>
      <c r="G273" s="38"/>
      <c r="H273" s="40"/>
      <c r="I273" s="45" t="str">
        <f>IF($E273="","",IF(COUNTIF($K$10:$K273,$K273)&gt;1,"DUPLICATE","No"))</f>
        <v/>
      </c>
      <c r="J273" s="45" t="str">
        <f t="shared" si="16"/>
        <v/>
      </c>
      <c r="K273" s="46" t="str">
        <f t="shared" si="17"/>
        <v/>
      </c>
      <c r="L273" s="47" t="str">
        <f t="shared" si="18"/>
        <v/>
      </c>
      <c r="M273" s="48" t="str">
        <f t="shared" si="19"/>
        <v/>
      </c>
    </row>
    <row r="274" spans="2:13" ht="12.95" customHeight="1" x14ac:dyDescent="0.25">
      <c r="B274" s="39"/>
      <c r="C274" s="37"/>
      <c r="D274" s="28"/>
      <c r="E274" s="35"/>
      <c r="F274" s="38"/>
      <c r="G274" s="38"/>
      <c r="H274" s="40"/>
      <c r="I274" s="41" t="str">
        <f>IF($E274="","",IF(COUNTIF($K$10:$K274,$K274)&gt;1,"DUPLICATE","No"))</f>
        <v/>
      </c>
      <c r="J274" s="41" t="str">
        <f t="shared" si="16"/>
        <v/>
      </c>
      <c r="K274" s="42" t="str">
        <f t="shared" si="17"/>
        <v/>
      </c>
      <c r="L274" s="43" t="str">
        <f t="shared" si="18"/>
        <v/>
      </c>
      <c r="M274" s="44" t="str">
        <f t="shared" si="19"/>
        <v/>
      </c>
    </row>
    <row r="275" spans="2:13" ht="12.95" customHeight="1" x14ac:dyDescent="0.25">
      <c r="B275" s="39"/>
      <c r="C275" s="37"/>
      <c r="D275" s="28"/>
      <c r="E275" s="35"/>
      <c r="F275" s="38"/>
      <c r="G275" s="38"/>
      <c r="H275" s="40"/>
      <c r="I275" s="45" t="str">
        <f>IF($E275="","",IF(COUNTIF($K$10:$K275,$K275)&gt;1,"DUPLICATE","No"))</f>
        <v/>
      </c>
      <c r="J275" s="45" t="str">
        <f t="shared" si="16"/>
        <v/>
      </c>
      <c r="K275" s="46" t="str">
        <f t="shared" si="17"/>
        <v/>
      </c>
      <c r="L275" s="47" t="str">
        <f t="shared" si="18"/>
        <v/>
      </c>
      <c r="M275" s="48" t="str">
        <f t="shared" si="19"/>
        <v/>
      </c>
    </row>
    <row r="276" spans="2:13" ht="12.95" customHeight="1" x14ac:dyDescent="0.25">
      <c r="B276" s="39"/>
      <c r="C276" s="37"/>
      <c r="D276" s="28"/>
      <c r="E276" s="35"/>
      <c r="F276" s="38"/>
      <c r="G276" s="38"/>
      <c r="H276" s="40"/>
      <c r="I276" s="41" t="str">
        <f>IF($E276="","",IF(COUNTIF($K$10:$K276,$K276)&gt;1,"DUPLICATE","No"))</f>
        <v/>
      </c>
      <c r="J276" s="41" t="str">
        <f t="shared" si="16"/>
        <v/>
      </c>
      <c r="K276" s="42" t="str">
        <f t="shared" si="17"/>
        <v/>
      </c>
      <c r="L276" s="43" t="str">
        <f t="shared" si="18"/>
        <v/>
      </c>
      <c r="M276" s="44" t="str">
        <f t="shared" si="19"/>
        <v/>
      </c>
    </row>
    <row r="277" spans="2:13" ht="12.95" customHeight="1" x14ac:dyDescent="0.25">
      <c r="B277" s="39"/>
      <c r="C277" s="37"/>
      <c r="D277" s="28"/>
      <c r="E277" s="35"/>
      <c r="F277" s="38"/>
      <c r="G277" s="38"/>
      <c r="H277" s="40"/>
      <c r="I277" s="45" t="str">
        <f>IF($E277="","",IF(COUNTIF($K$10:$K277,$K277)&gt;1,"DUPLICATE","No"))</f>
        <v/>
      </c>
      <c r="J277" s="45" t="str">
        <f t="shared" si="16"/>
        <v/>
      </c>
      <c r="K277" s="46" t="str">
        <f t="shared" si="17"/>
        <v/>
      </c>
      <c r="L277" s="47" t="str">
        <f t="shared" si="18"/>
        <v/>
      </c>
      <c r="M277" s="48" t="str">
        <f t="shared" si="19"/>
        <v/>
      </c>
    </row>
    <row r="278" spans="2:13" ht="12.95" customHeight="1" x14ac:dyDescent="0.25">
      <c r="B278" s="39"/>
      <c r="C278" s="37"/>
      <c r="D278" s="28"/>
      <c r="E278" s="35"/>
      <c r="F278" s="38"/>
      <c r="G278" s="38"/>
      <c r="H278" s="40"/>
      <c r="I278" s="41" t="str">
        <f>IF($E278="","",IF(COUNTIF($K$10:$K278,$K278)&gt;1,"DUPLICATE","No"))</f>
        <v/>
      </c>
      <c r="J278" s="41" t="str">
        <f t="shared" si="16"/>
        <v/>
      </c>
      <c r="K278" s="42" t="str">
        <f t="shared" si="17"/>
        <v/>
      </c>
      <c r="L278" s="43" t="str">
        <f t="shared" si="18"/>
        <v/>
      </c>
      <c r="M278" s="44" t="str">
        <f t="shared" si="19"/>
        <v/>
      </c>
    </row>
    <row r="279" spans="2:13" ht="12.95" customHeight="1" x14ac:dyDescent="0.25">
      <c r="B279" s="39"/>
      <c r="C279" s="37"/>
      <c r="D279" s="28"/>
      <c r="E279" s="35"/>
      <c r="F279" s="38"/>
      <c r="G279" s="38"/>
      <c r="H279" s="40"/>
      <c r="I279" s="45" t="str">
        <f>IF($E279="","",IF(COUNTIF($K$10:$K279,$K279)&gt;1,"DUPLICATE","No"))</f>
        <v/>
      </c>
      <c r="J279" s="45" t="str">
        <f t="shared" si="16"/>
        <v/>
      </c>
      <c r="K279" s="46" t="str">
        <f t="shared" si="17"/>
        <v/>
      </c>
      <c r="L279" s="47" t="str">
        <f t="shared" si="18"/>
        <v/>
      </c>
      <c r="M279" s="48" t="str">
        <f t="shared" si="19"/>
        <v/>
      </c>
    </row>
    <row r="280" spans="2:13" ht="12.95" customHeight="1" x14ac:dyDescent="0.25">
      <c r="B280" s="39"/>
      <c r="C280" s="37"/>
      <c r="D280" s="28"/>
      <c r="E280" s="35"/>
      <c r="F280" s="38"/>
      <c r="G280" s="38"/>
      <c r="H280" s="40"/>
      <c r="I280" s="41" t="str">
        <f>IF($E280="","",IF(COUNTIF($K$10:$K280,$K280)&gt;1,"DUPLICATE","No"))</f>
        <v/>
      </c>
      <c r="J280" s="41" t="str">
        <f t="shared" si="16"/>
        <v/>
      </c>
      <c r="K280" s="42" t="str">
        <f t="shared" si="17"/>
        <v/>
      </c>
      <c r="L280" s="43" t="str">
        <f t="shared" si="18"/>
        <v/>
      </c>
      <c r="M280" s="44" t="str">
        <f t="shared" si="19"/>
        <v/>
      </c>
    </row>
    <row r="281" spans="2:13" ht="12.95" customHeight="1" x14ac:dyDescent="0.25">
      <c r="B281" s="39"/>
      <c r="C281" s="37"/>
      <c r="D281" s="28"/>
      <c r="E281" s="35"/>
      <c r="F281" s="38"/>
      <c r="G281" s="38"/>
      <c r="H281" s="40"/>
      <c r="I281" s="45" t="str">
        <f>IF($E281="","",IF(COUNTIF($K$10:$K281,$K281)&gt;1,"DUPLICATE","No"))</f>
        <v/>
      </c>
      <c r="J281" s="45" t="str">
        <f t="shared" si="16"/>
        <v/>
      </c>
      <c r="K281" s="46" t="str">
        <f t="shared" si="17"/>
        <v/>
      </c>
      <c r="L281" s="47" t="str">
        <f t="shared" si="18"/>
        <v/>
      </c>
      <c r="M281" s="48" t="str">
        <f t="shared" si="19"/>
        <v/>
      </c>
    </row>
    <row r="282" spans="2:13" ht="12.95" customHeight="1" x14ac:dyDescent="0.25">
      <c r="B282" s="39"/>
      <c r="C282" s="37"/>
      <c r="D282" s="28"/>
      <c r="E282" s="35"/>
      <c r="F282" s="38"/>
      <c r="G282" s="38"/>
      <c r="H282" s="40"/>
      <c r="I282" s="41" t="str">
        <f>IF($E282="","",IF(COUNTIF($K$10:$K282,$K282)&gt;1,"DUPLICATE","No"))</f>
        <v/>
      </c>
      <c r="J282" s="41" t="str">
        <f t="shared" si="16"/>
        <v/>
      </c>
      <c r="K282" s="42" t="str">
        <f t="shared" si="17"/>
        <v/>
      </c>
      <c r="L282" s="43" t="str">
        <f t="shared" si="18"/>
        <v/>
      </c>
      <c r="M282" s="44" t="str">
        <f t="shared" si="19"/>
        <v/>
      </c>
    </row>
    <row r="283" spans="2:13" ht="12.95" customHeight="1" x14ac:dyDescent="0.25">
      <c r="B283" s="39"/>
      <c r="C283" s="37"/>
      <c r="D283" s="28"/>
      <c r="E283" s="35"/>
      <c r="F283" s="38"/>
      <c r="G283" s="38"/>
      <c r="H283" s="40"/>
      <c r="I283" s="45" t="str">
        <f>IF($E283="","",IF(COUNTIF($K$10:$K283,$K283)&gt;1,"DUPLICATE","No"))</f>
        <v/>
      </c>
      <c r="J283" s="45" t="str">
        <f t="shared" si="16"/>
        <v/>
      </c>
      <c r="K283" s="46" t="str">
        <f t="shared" si="17"/>
        <v/>
      </c>
      <c r="L283" s="47" t="str">
        <f t="shared" si="18"/>
        <v/>
      </c>
      <c r="M283" s="48" t="str">
        <f t="shared" si="19"/>
        <v/>
      </c>
    </row>
    <row r="284" spans="2:13" ht="12.95" customHeight="1" x14ac:dyDescent="0.25">
      <c r="B284" s="39"/>
      <c r="C284" s="37"/>
      <c r="D284" s="28"/>
      <c r="E284" s="35"/>
      <c r="F284" s="38"/>
      <c r="G284" s="38"/>
      <c r="H284" s="40"/>
      <c r="I284" s="41" t="str">
        <f>IF($E284="","",IF(COUNTIF($K$10:$K284,$K284)&gt;1,"DUPLICATE","No"))</f>
        <v/>
      </c>
      <c r="J284" s="41" t="str">
        <f t="shared" si="16"/>
        <v/>
      </c>
      <c r="K284" s="42" t="str">
        <f t="shared" si="17"/>
        <v/>
      </c>
      <c r="L284" s="43" t="str">
        <f t="shared" si="18"/>
        <v/>
      </c>
      <c r="M284" s="44" t="str">
        <f t="shared" si="19"/>
        <v/>
      </c>
    </row>
    <row r="285" spans="2:13" ht="12.95" customHeight="1" x14ac:dyDescent="0.25">
      <c r="B285" s="39"/>
      <c r="C285" s="37"/>
      <c r="D285" s="28"/>
      <c r="E285" s="35"/>
      <c r="F285" s="38"/>
      <c r="G285" s="38"/>
      <c r="H285" s="40"/>
      <c r="I285" s="45" t="str">
        <f>IF($E285="","",IF(COUNTIF($K$10:$K285,$K285)&gt;1,"DUPLICATE","No"))</f>
        <v/>
      </c>
      <c r="J285" s="45" t="str">
        <f t="shared" si="16"/>
        <v/>
      </c>
      <c r="K285" s="46" t="str">
        <f t="shared" si="17"/>
        <v/>
      </c>
      <c r="L285" s="47" t="str">
        <f t="shared" si="18"/>
        <v/>
      </c>
      <c r="M285" s="48" t="str">
        <f t="shared" si="19"/>
        <v/>
      </c>
    </row>
    <row r="286" spans="2:13" ht="12.95" customHeight="1" x14ac:dyDescent="0.25">
      <c r="B286" s="39"/>
      <c r="C286" s="37"/>
      <c r="D286" s="28"/>
      <c r="E286" s="35"/>
      <c r="F286" s="38"/>
      <c r="G286" s="38"/>
      <c r="H286" s="40"/>
      <c r="I286" s="41" t="str">
        <f>IF($E286="","",IF(COUNTIF($K$10:$K286,$K286)&gt;1,"DUPLICATE","No"))</f>
        <v/>
      </c>
      <c r="J286" s="41" t="str">
        <f t="shared" si="16"/>
        <v/>
      </c>
      <c r="K286" s="42" t="str">
        <f t="shared" si="17"/>
        <v/>
      </c>
      <c r="L286" s="43" t="str">
        <f t="shared" si="18"/>
        <v/>
      </c>
      <c r="M286" s="44" t="str">
        <f t="shared" si="19"/>
        <v/>
      </c>
    </row>
    <row r="287" spans="2:13" ht="12.95" customHeight="1" x14ac:dyDescent="0.25">
      <c r="B287" s="39"/>
      <c r="C287" s="37"/>
      <c r="D287" s="28"/>
      <c r="E287" s="35"/>
      <c r="F287" s="38"/>
      <c r="G287" s="38"/>
      <c r="H287" s="40"/>
      <c r="I287" s="45" t="str">
        <f>IF($E287="","",IF(COUNTIF($K$10:$K287,$K287)&gt;1,"DUPLICATE","No"))</f>
        <v/>
      </c>
      <c r="J287" s="45" t="str">
        <f t="shared" si="16"/>
        <v/>
      </c>
      <c r="K287" s="46" t="str">
        <f t="shared" si="17"/>
        <v/>
      </c>
      <c r="L287" s="47" t="str">
        <f t="shared" si="18"/>
        <v/>
      </c>
      <c r="M287" s="48" t="str">
        <f t="shared" si="19"/>
        <v/>
      </c>
    </row>
    <row r="288" spans="2:13" ht="12.95" customHeight="1" x14ac:dyDescent="0.25">
      <c r="B288" s="39"/>
      <c r="C288" s="37"/>
      <c r="D288" s="28"/>
      <c r="E288" s="35"/>
      <c r="F288" s="38"/>
      <c r="G288" s="38"/>
      <c r="H288" s="40"/>
      <c r="I288" s="41" t="str">
        <f>IF($E288="","",IF(COUNTIF($K$10:$K288,$K288)&gt;1,"DUPLICATE","No"))</f>
        <v/>
      </c>
      <c r="J288" s="41" t="str">
        <f t="shared" si="16"/>
        <v/>
      </c>
      <c r="K288" s="42" t="str">
        <f t="shared" si="17"/>
        <v/>
      </c>
      <c r="L288" s="43" t="str">
        <f t="shared" si="18"/>
        <v/>
      </c>
      <c r="M288" s="44" t="str">
        <f t="shared" si="19"/>
        <v/>
      </c>
    </row>
    <row r="289" spans="2:13" ht="12.95" customHeight="1" x14ac:dyDescent="0.25">
      <c r="B289" s="39"/>
      <c r="C289" s="37"/>
      <c r="D289" s="28"/>
      <c r="E289" s="35"/>
      <c r="F289" s="38"/>
      <c r="G289" s="38"/>
      <c r="H289" s="40"/>
      <c r="I289" s="45" t="str">
        <f>IF($E289="","",IF(COUNTIF($K$10:$K289,$K289)&gt;1,"DUPLICATE","No"))</f>
        <v/>
      </c>
      <c r="J289" s="45" t="str">
        <f t="shared" si="16"/>
        <v/>
      </c>
      <c r="K289" s="46" t="str">
        <f t="shared" si="17"/>
        <v/>
      </c>
      <c r="L289" s="47" t="str">
        <f t="shared" si="18"/>
        <v/>
      </c>
      <c r="M289" s="48" t="str">
        <f t="shared" si="19"/>
        <v/>
      </c>
    </row>
    <row r="290" spans="2:13" ht="12.95" customHeight="1" x14ac:dyDescent="0.25">
      <c r="B290" s="39"/>
      <c r="C290" s="37"/>
      <c r="D290" s="28"/>
      <c r="E290" s="35"/>
      <c r="F290" s="38"/>
      <c r="G290" s="38"/>
      <c r="H290" s="40"/>
      <c r="I290" s="41" t="str">
        <f>IF($E290="","",IF(COUNTIF($K$10:$K290,$K290)&gt;1,"DUPLICATE","No"))</f>
        <v/>
      </c>
      <c r="J290" s="41" t="str">
        <f t="shared" si="16"/>
        <v/>
      </c>
      <c r="K290" s="42" t="str">
        <f t="shared" si="17"/>
        <v/>
      </c>
      <c r="L290" s="43" t="str">
        <f t="shared" si="18"/>
        <v/>
      </c>
      <c r="M290" s="44" t="str">
        <f t="shared" si="19"/>
        <v/>
      </c>
    </row>
    <row r="291" spans="2:13" ht="12.95" customHeight="1" x14ac:dyDescent="0.25">
      <c r="B291" s="39"/>
      <c r="C291" s="37"/>
      <c r="D291" s="28"/>
      <c r="E291" s="35"/>
      <c r="F291" s="38"/>
      <c r="G291" s="38"/>
      <c r="H291" s="40"/>
      <c r="I291" s="45" t="str">
        <f>IF($E291="","",IF(COUNTIF($K$10:$K291,$K291)&gt;1,"DUPLICATE","No"))</f>
        <v/>
      </c>
      <c r="J291" s="45" t="str">
        <f t="shared" si="16"/>
        <v/>
      </c>
      <c r="K291" s="46" t="str">
        <f t="shared" si="17"/>
        <v/>
      </c>
      <c r="L291" s="47" t="str">
        <f t="shared" si="18"/>
        <v/>
      </c>
      <c r="M291" s="48" t="str">
        <f t="shared" si="19"/>
        <v/>
      </c>
    </row>
    <row r="292" spans="2:13" ht="12.95" customHeight="1" x14ac:dyDescent="0.25">
      <c r="B292" s="39"/>
      <c r="C292" s="37"/>
      <c r="D292" s="28"/>
      <c r="E292" s="35"/>
      <c r="F292" s="38"/>
      <c r="G292" s="38"/>
      <c r="H292" s="40"/>
      <c r="I292" s="41" t="str">
        <f>IF($E292="","",IF(COUNTIF($K$10:$K292,$K292)&gt;1,"DUPLICATE","No"))</f>
        <v/>
      </c>
      <c r="J292" s="41" t="str">
        <f t="shared" si="16"/>
        <v/>
      </c>
      <c r="K292" s="42" t="str">
        <f t="shared" si="17"/>
        <v/>
      </c>
      <c r="L292" s="43" t="str">
        <f t="shared" si="18"/>
        <v/>
      </c>
      <c r="M292" s="44" t="str">
        <f t="shared" si="19"/>
        <v/>
      </c>
    </row>
    <row r="293" spans="2:13" ht="12.95" customHeight="1" x14ac:dyDescent="0.25">
      <c r="B293" s="39"/>
      <c r="C293" s="37"/>
      <c r="D293" s="28"/>
      <c r="E293" s="35"/>
      <c r="F293" s="38"/>
      <c r="G293" s="38"/>
      <c r="H293" s="40"/>
      <c r="I293" s="45" t="str">
        <f>IF($E293="","",IF(COUNTIF($K$10:$K293,$K293)&gt;1,"DUPLICATE","No"))</f>
        <v/>
      </c>
      <c r="J293" s="45" t="str">
        <f t="shared" si="16"/>
        <v/>
      </c>
      <c r="K293" s="46" t="str">
        <f t="shared" si="17"/>
        <v/>
      </c>
      <c r="L293" s="47" t="str">
        <f t="shared" si="18"/>
        <v/>
      </c>
      <c r="M293" s="48" t="str">
        <f t="shared" si="19"/>
        <v/>
      </c>
    </row>
    <row r="294" spans="2:13" ht="12.95" customHeight="1" x14ac:dyDescent="0.25">
      <c r="B294" s="39"/>
      <c r="C294" s="37"/>
      <c r="D294" s="28"/>
      <c r="E294" s="35"/>
      <c r="F294" s="38"/>
      <c r="G294" s="38"/>
      <c r="H294" s="40"/>
      <c r="I294" s="41" t="str">
        <f>IF($E294="","",IF(COUNTIF($K$10:$K294,$K294)&gt;1,"DUPLICATE","No"))</f>
        <v/>
      </c>
      <c r="J294" s="41" t="str">
        <f t="shared" si="16"/>
        <v/>
      </c>
      <c r="K294" s="42" t="str">
        <f t="shared" si="17"/>
        <v/>
      </c>
      <c r="L294" s="43" t="str">
        <f t="shared" si="18"/>
        <v/>
      </c>
      <c r="M294" s="44" t="str">
        <f t="shared" si="19"/>
        <v/>
      </c>
    </row>
    <row r="295" spans="2:13" ht="12.95" customHeight="1" x14ac:dyDescent="0.25">
      <c r="B295" s="39"/>
      <c r="C295" s="37"/>
      <c r="D295" s="28"/>
      <c r="E295" s="35"/>
      <c r="F295" s="38"/>
      <c r="G295" s="38"/>
      <c r="H295" s="40"/>
      <c r="I295" s="45" t="str">
        <f>IF($E295="","",IF(COUNTIF($K$10:$K295,$K295)&gt;1,"DUPLICATE","No"))</f>
        <v/>
      </c>
      <c r="J295" s="45" t="str">
        <f t="shared" si="16"/>
        <v/>
      </c>
      <c r="K295" s="46" t="str">
        <f t="shared" si="17"/>
        <v/>
      </c>
      <c r="L295" s="47" t="str">
        <f t="shared" si="18"/>
        <v/>
      </c>
      <c r="M295" s="48" t="str">
        <f t="shared" si="19"/>
        <v/>
      </c>
    </row>
    <row r="296" spans="2:13" ht="12.95" customHeight="1" x14ac:dyDescent="0.25">
      <c r="B296" s="39"/>
      <c r="C296" s="37"/>
      <c r="D296" s="28"/>
      <c r="E296" s="35"/>
      <c r="F296" s="38"/>
      <c r="G296" s="38"/>
      <c r="H296" s="40"/>
      <c r="I296" s="41" t="str">
        <f>IF($E296="","",IF(COUNTIF($K$10:$K296,$K296)&gt;1,"DUPLICATE","No"))</f>
        <v/>
      </c>
      <c r="J296" s="41" t="str">
        <f t="shared" si="16"/>
        <v/>
      </c>
      <c r="K296" s="42" t="str">
        <f t="shared" si="17"/>
        <v/>
      </c>
      <c r="L296" s="43" t="str">
        <f t="shared" si="18"/>
        <v/>
      </c>
      <c r="M296" s="44" t="str">
        <f t="shared" si="19"/>
        <v/>
      </c>
    </row>
    <row r="297" spans="2:13" ht="12.95" customHeight="1" x14ac:dyDescent="0.25">
      <c r="B297" s="39"/>
      <c r="C297" s="37"/>
      <c r="D297" s="28"/>
      <c r="E297" s="35"/>
      <c r="F297" s="38"/>
      <c r="G297" s="38"/>
      <c r="H297" s="40"/>
      <c r="I297" s="45" t="str">
        <f>IF($E297="","",IF(COUNTIF($K$10:$K297,$K297)&gt;1,"DUPLICATE","No"))</f>
        <v/>
      </c>
      <c r="J297" s="45" t="str">
        <f t="shared" si="16"/>
        <v/>
      </c>
      <c r="K297" s="46" t="str">
        <f t="shared" si="17"/>
        <v/>
      </c>
      <c r="L297" s="47" t="str">
        <f t="shared" si="18"/>
        <v/>
      </c>
      <c r="M297" s="48" t="str">
        <f t="shared" si="19"/>
        <v/>
      </c>
    </row>
    <row r="298" spans="2:13" ht="12.95" customHeight="1" x14ac:dyDescent="0.25">
      <c r="B298" s="39"/>
      <c r="C298" s="37"/>
      <c r="D298" s="28"/>
      <c r="E298" s="35"/>
      <c r="F298" s="38"/>
      <c r="G298" s="38"/>
      <c r="H298" s="40"/>
      <c r="I298" s="41" t="str">
        <f>IF($E298="","",IF(COUNTIF($K$10:$K298,$K298)&gt;1,"DUPLICATE","No"))</f>
        <v/>
      </c>
      <c r="J298" s="41" t="str">
        <f t="shared" si="16"/>
        <v/>
      </c>
      <c r="K298" s="42" t="str">
        <f t="shared" si="17"/>
        <v/>
      </c>
      <c r="L298" s="43" t="str">
        <f t="shared" si="18"/>
        <v/>
      </c>
      <c r="M298" s="44" t="str">
        <f t="shared" si="19"/>
        <v/>
      </c>
    </row>
    <row r="299" spans="2:13" ht="12.95" customHeight="1" x14ac:dyDescent="0.25">
      <c r="B299" s="39"/>
      <c r="C299" s="37"/>
      <c r="D299" s="28"/>
      <c r="E299" s="35"/>
      <c r="F299" s="38"/>
      <c r="G299" s="38"/>
      <c r="H299" s="40"/>
      <c r="I299" s="45" t="str">
        <f>IF($E299="","",IF(COUNTIF($K$10:$K299,$K299)&gt;1,"DUPLICATE","No"))</f>
        <v/>
      </c>
      <c r="J299" s="45" t="str">
        <f t="shared" si="16"/>
        <v/>
      </c>
      <c r="K299" s="46" t="str">
        <f t="shared" si="17"/>
        <v/>
      </c>
      <c r="L299" s="47" t="str">
        <f t="shared" si="18"/>
        <v/>
      </c>
      <c r="M299" s="48" t="str">
        <f t="shared" si="19"/>
        <v/>
      </c>
    </row>
    <row r="300" spans="2:13" ht="12.95" customHeight="1" x14ac:dyDescent="0.25">
      <c r="B300" s="39"/>
      <c r="C300" s="37"/>
      <c r="D300" s="28"/>
      <c r="E300" s="35"/>
      <c r="F300" s="38"/>
      <c r="G300" s="38"/>
      <c r="H300" s="40"/>
      <c r="I300" s="41" t="str">
        <f>IF($E300="","",IF(COUNTIF($K$10:$K300,$K300)&gt;1,"DUPLICATE","No"))</f>
        <v/>
      </c>
      <c r="J300" s="41" t="str">
        <f t="shared" si="16"/>
        <v/>
      </c>
      <c r="K300" s="42" t="str">
        <f t="shared" si="17"/>
        <v/>
      </c>
      <c r="L300" s="43" t="str">
        <f t="shared" si="18"/>
        <v/>
      </c>
      <c r="M300" s="44" t="str">
        <f t="shared" si="19"/>
        <v/>
      </c>
    </row>
    <row r="301" spans="2:13" ht="12.95" customHeight="1" x14ac:dyDescent="0.25">
      <c r="B301" s="39"/>
      <c r="C301" s="37"/>
      <c r="D301" s="28"/>
      <c r="E301" s="35"/>
      <c r="F301" s="38"/>
      <c r="G301" s="38"/>
      <c r="H301" s="40"/>
      <c r="I301" s="45" t="str">
        <f>IF($E301="","",IF(COUNTIF($K$10:$K301,$K301)&gt;1,"DUPLICATE","No"))</f>
        <v/>
      </c>
      <c r="J301" s="45" t="str">
        <f t="shared" si="16"/>
        <v/>
      </c>
      <c r="K301" s="46" t="str">
        <f t="shared" si="17"/>
        <v/>
      </c>
      <c r="L301" s="47" t="str">
        <f t="shared" si="18"/>
        <v/>
      </c>
      <c r="M301" s="48" t="str">
        <f t="shared" si="19"/>
        <v/>
      </c>
    </row>
    <row r="302" spans="2:13" ht="12.95" customHeight="1" x14ac:dyDescent="0.25">
      <c r="B302" s="39"/>
      <c r="C302" s="37"/>
      <c r="D302" s="28"/>
      <c r="E302" s="35"/>
      <c r="F302" s="38"/>
      <c r="G302" s="38"/>
      <c r="H302" s="40"/>
      <c r="I302" s="41" t="str">
        <f>IF($E302="","",IF(COUNTIF($K$10:$K302,$K302)&gt;1,"DUPLICATE","No"))</f>
        <v/>
      </c>
      <c r="J302" s="41" t="str">
        <f t="shared" si="16"/>
        <v/>
      </c>
      <c r="K302" s="42" t="str">
        <f t="shared" si="17"/>
        <v/>
      </c>
      <c r="L302" s="43" t="str">
        <f t="shared" si="18"/>
        <v/>
      </c>
      <c r="M302" s="44" t="str">
        <f t="shared" si="19"/>
        <v/>
      </c>
    </row>
    <row r="303" spans="2:13" ht="12.95" customHeight="1" x14ac:dyDescent="0.25">
      <c r="B303" s="39"/>
      <c r="C303" s="37"/>
      <c r="D303" s="28"/>
      <c r="E303" s="35"/>
      <c r="F303" s="38"/>
      <c r="G303" s="38"/>
      <c r="H303" s="40"/>
      <c r="I303" s="45" t="str">
        <f>IF($E303="","",IF(COUNTIF($K$10:$K303,$K303)&gt;1,"DUPLICATE","No"))</f>
        <v/>
      </c>
      <c r="J303" s="45" t="str">
        <f t="shared" si="16"/>
        <v/>
      </c>
      <c r="K303" s="46" t="str">
        <f t="shared" si="17"/>
        <v/>
      </c>
      <c r="L303" s="47" t="str">
        <f t="shared" si="18"/>
        <v/>
      </c>
      <c r="M303" s="48" t="str">
        <f t="shared" si="19"/>
        <v/>
      </c>
    </row>
    <row r="304" spans="2:13" ht="12.95" customHeight="1" x14ac:dyDescent="0.25">
      <c r="B304" s="39"/>
      <c r="C304" s="37"/>
      <c r="D304" s="28"/>
      <c r="E304" s="35"/>
      <c r="F304" s="38"/>
      <c r="G304" s="38"/>
      <c r="H304" s="40"/>
      <c r="I304" s="41" t="str">
        <f>IF($E304="","",IF(COUNTIF($K$10:$K304,$K304)&gt;1,"DUPLICATE","No"))</f>
        <v/>
      </c>
      <c r="J304" s="41" t="str">
        <f t="shared" si="16"/>
        <v/>
      </c>
      <c r="K304" s="42" t="str">
        <f t="shared" si="17"/>
        <v/>
      </c>
      <c r="L304" s="43" t="str">
        <f t="shared" si="18"/>
        <v/>
      </c>
      <c r="M304" s="44" t="str">
        <f t="shared" si="19"/>
        <v/>
      </c>
    </row>
    <row r="305" spans="2:13" ht="12.95" customHeight="1" x14ac:dyDescent="0.25">
      <c r="B305" s="39"/>
      <c r="C305" s="37"/>
      <c r="D305" s="28"/>
      <c r="E305" s="35"/>
      <c r="F305" s="38"/>
      <c r="G305" s="38"/>
      <c r="H305" s="40"/>
      <c r="I305" s="45" t="str">
        <f>IF($E305="","",IF(COUNTIF($K$10:$K305,$K305)&gt;1,"DUPLICATE","No"))</f>
        <v/>
      </c>
      <c r="J305" s="45" t="str">
        <f t="shared" si="16"/>
        <v/>
      </c>
      <c r="K305" s="46" t="str">
        <f t="shared" si="17"/>
        <v/>
      </c>
      <c r="L305" s="47" t="str">
        <f t="shared" si="18"/>
        <v/>
      </c>
      <c r="M305" s="48" t="str">
        <f t="shared" si="19"/>
        <v/>
      </c>
    </row>
    <row r="306" spans="2:13" ht="12.95" customHeight="1" x14ac:dyDescent="0.25">
      <c r="B306" s="39"/>
      <c r="C306" s="37"/>
      <c r="D306" s="28"/>
      <c r="E306" s="35"/>
      <c r="F306" s="38"/>
      <c r="G306" s="38"/>
      <c r="H306" s="40"/>
      <c r="I306" s="41" t="str">
        <f>IF($E306="","",IF(COUNTIF($K$10:$K306,$K306)&gt;1,"DUPLICATE","No"))</f>
        <v/>
      </c>
      <c r="J306" s="41" t="str">
        <f t="shared" si="16"/>
        <v/>
      </c>
      <c r="K306" s="42" t="str">
        <f t="shared" si="17"/>
        <v/>
      </c>
      <c r="L306" s="43" t="str">
        <f t="shared" si="18"/>
        <v/>
      </c>
      <c r="M306" s="44" t="str">
        <f t="shared" si="19"/>
        <v/>
      </c>
    </row>
    <row r="307" spans="2:13" ht="12.95" customHeight="1" x14ac:dyDescent="0.25">
      <c r="B307" s="39"/>
      <c r="C307" s="37"/>
      <c r="D307" s="28"/>
      <c r="E307" s="35"/>
      <c r="F307" s="38"/>
      <c r="G307" s="38"/>
      <c r="H307" s="40"/>
      <c r="I307" s="45" t="str">
        <f>IF($E307="","",IF(COUNTIF($K$10:$K307,$K307)&gt;1,"DUPLICATE","No"))</f>
        <v/>
      </c>
      <c r="J307" s="45" t="str">
        <f t="shared" si="16"/>
        <v/>
      </c>
      <c r="K307" s="46" t="str">
        <f t="shared" si="17"/>
        <v/>
      </c>
      <c r="L307" s="47" t="str">
        <f t="shared" si="18"/>
        <v/>
      </c>
      <c r="M307" s="48" t="str">
        <f t="shared" si="19"/>
        <v/>
      </c>
    </row>
    <row r="308" spans="2:13" ht="12.95" customHeight="1" x14ac:dyDescent="0.25">
      <c r="B308" s="39"/>
      <c r="C308" s="37"/>
      <c r="D308" s="28"/>
      <c r="E308" s="35"/>
      <c r="F308" s="38"/>
      <c r="G308" s="38"/>
      <c r="H308" s="40"/>
      <c r="I308" s="41" t="str">
        <f>IF($E308="","",IF(COUNTIF($K$10:$K308,$K308)&gt;1,"DUPLICATE","No"))</f>
        <v/>
      </c>
      <c r="J308" s="41" t="str">
        <f t="shared" si="16"/>
        <v/>
      </c>
      <c r="K308" s="42" t="str">
        <f t="shared" si="17"/>
        <v/>
      </c>
      <c r="L308" s="43" t="str">
        <f t="shared" si="18"/>
        <v/>
      </c>
      <c r="M308" s="44" t="str">
        <f t="shared" si="19"/>
        <v/>
      </c>
    </row>
    <row r="309" spans="2:13" ht="12.95" customHeight="1" x14ac:dyDescent="0.25">
      <c r="B309" s="39"/>
      <c r="C309" s="37"/>
      <c r="D309" s="28"/>
      <c r="E309" s="35"/>
      <c r="F309" s="38"/>
      <c r="G309" s="38"/>
      <c r="H309" s="40"/>
      <c r="I309" s="45" t="str">
        <f>IF($E309="","",IF(COUNTIF($K$10:$K309,$K309)&gt;1,"DUPLICATE","No"))</f>
        <v/>
      </c>
      <c r="J309" s="45" t="str">
        <f t="shared" si="16"/>
        <v/>
      </c>
      <c r="K309" s="46" t="str">
        <f t="shared" si="17"/>
        <v/>
      </c>
      <c r="L309" s="47" t="str">
        <f t="shared" si="18"/>
        <v/>
      </c>
      <c r="M309" s="48" t="str">
        <f t="shared" si="19"/>
        <v/>
      </c>
    </row>
    <row r="310" spans="2:13" ht="12.95" customHeight="1" x14ac:dyDescent="0.25">
      <c r="B310" s="39"/>
      <c r="C310" s="37"/>
      <c r="D310" s="28"/>
      <c r="E310" s="35"/>
      <c r="F310" s="38"/>
      <c r="G310" s="38"/>
      <c r="H310" s="40"/>
      <c r="I310" s="41" t="str">
        <f>IF($E310="","",IF(COUNTIF($K$10:$K310,$K310)&gt;1,"DUPLICATE","No"))</f>
        <v/>
      </c>
      <c r="J310" s="41" t="str">
        <f t="shared" si="16"/>
        <v/>
      </c>
      <c r="K310" s="42" t="str">
        <f t="shared" si="17"/>
        <v/>
      </c>
      <c r="L310" s="43" t="str">
        <f t="shared" si="18"/>
        <v/>
      </c>
      <c r="M310" s="44" t="str">
        <f t="shared" si="19"/>
        <v/>
      </c>
    </row>
    <row r="311" spans="2:13" ht="12.95" customHeight="1" x14ac:dyDescent="0.25">
      <c r="B311" s="39"/>
      <c r="C311" s="37"/>
      <c r="D311" s="28"/>
      <c r="E311" s="35"/>
      <c r="F311" s="38"/>
      <c r="G311" s="38"/>
      <c r="H311" s="40"/>
      <c r="I311" s="45" t="str">
        <f>IF($E311="","",IF(COUNTIF($K$10:$K311,$K311)&gt;1,"DUPLICATE","No"))</f>
        <v/>
      </c>
      <c r="J311" s="45" t="str">
        <f t="shared" si="16"/>
        <v/>
      </c>
      <c r="K311" s="46" t="str">
        <f t="shared" si="17"/>
        <v/>
      </c>
      <c r="L311" s="47" t="str">
        <f t="shared" si="18"/>
        <v/>
      </c>
      <c r="M311" s="48" t="str">
        <f t="shared" si="19"/>
        <v/>
      </c>
    </row>
    <row r="312" spans="2:13" ht="12.95" customHeight="1" x14ac:dyDescent="0.25">
      <c r="B312" s="39"/>
      <c r="C312" s="37"/>
      <c r="D312" s="28"/>
      <c r="E312" s="35"/>
      <c r="F312" s="38"/>
      <c r="G312" s="38"/>
      <c r="H312" s="40"/>
      <c r="I312" s="41" t="str">
        <f>IF($E312="","",IF(COUNTIF($K$10:$K312,$K312)&gt;1,"DUPLICATE","No"))</f>
        <v/>
      </c>
      <c r="J312" s="41" t="str">
        <f t="shared" si="16"/>
        <v/>
      </c>
      <c r="K312" s="42" t="str">
        <f t="shared" si="17"/>
        <v/>
      </c>
      <c r="L312" s="43" t="str">
        <f t="shared" si="18"/>
        <v/>
      </c>
      <c r="M312" s="44" t="str">
        <f t="shared" si="19"/>
        <v/>
      </c>
    </row>
    <row r="313" spans="2:13" ht="12.95" customHeight="1" x14ac:dyDescent="0.25">
      <c r="B313" s="39"/>
      <c r="C313" s="37"/>
      <c r="D313" s="28"/>
      <c r="E313" s="35"/>
      <c r="F313" s="38"/>
      <c r="G313" s="38"/>
      <c r="H313" s="40"/>
      <c r="I313" s="45" t="str">
        <f>IF($E313="","",IF(COUNTIF($K$10:$K313,$K313)&gt;1,"DUPLICATE","No"))</f>
        <v/>
      </c>
      <c r="J313" s="45" t="str">
        <f t="shared" si="16"/>
        <v/>
      </c>
      <c r="K313" s="46" t="str">
        <f t="shared" si="17"/>
        <v/>
      </c>
      <c r="L313" s="47" t="str">
        <f t="shared" si="18"/>
        <v/>
      </c>
      <c r="M313" s="48" t="str">
        <f t="shared" si="19"/>
        <v/>
      </c>
    </row>
    <row r="314" spans="2:13" ht="12.95" customHeight="1" x14ac:dyDescent="0.25">
      <c r="B314" s="39"/>
      <c r="C314" s="37"/>
      <c r="D314" s="28"/>
      <c r="E314" s="35"/>
      <c r="F314" s="38"/>
      <c r="G314" s="38"/>
      <c r="H314" s="40"/>
      <c r="I314" s="41" t="str">
        <f>IF($E314="","",IF(COUNTIF($K$10:$K314,$K314)&gt;1,"DUPLICATE","No"))</f>
        <v/>
      </c>
      <c r="J314" s="41" t="str">
        <f t="shared" si="16"/>
        <v/>
      </c>
      <c r="K314" s="42" t="str">
        <f t="shared" si="17"/>
        <v/>
      </c>
      <c r="L314" s="43" t="str">
        <f t="shared" si="18"/>
        <v/>
      </c>
      <c r="M314" s="44" t="str">
        <f t="shared" si="19"/>
        <v/>
      </c>
    </row>
    <row r="315" spans="2:13" ht="12.95" customHeight="1" x14ac:dyDescent="0.25">
      <c r="B315" s="39"/>
      <c r="C315" s="37"/>
      <c r="D315" s="28"/>
      <c r="E315" s="35"/>
      <c r="F315" s="38"/>
      <c r="G315" s="38"/>
      <c r="H315" s="40"/>
      <c r="I315" s="45" t="str">
        <f>IF($E315="","",IF(COUNTIF($K$10:$K315,$K315)&gt;1,"DUPLICATE","No"))</f>
        <v/>
      </c>
      <c r="J315" s="45" t="str">
        <f t="shared" si="16"/>
        <v/>
      </c>
      <c r="K315" s="46" t="str">
        <f t="shared" si="17"/>
        <v/>
      </c>
      <c r="L315" s="47" t="str">
        <f t="shared" si="18"/>
        <v/>
      </c>
      <c r="M315" s="48" t="str">
        <f t="shared" si="19"/>
        <v/>
      </c>
    </row>
    <row r="316" spans="2:13" ht="12.95" customHeight="1" x14ac:dyDescent="0.25">
      <c r="B316" s="39"/>
      <c r="C316" s="37"/>
      <c r="D316" s="28"/>
      <c r="E316" s="35"/>
      <c r="F316" s="38"/>
      <c r="G316" s="38"/>
      <c r="H316" s="40"/>
      <c r="I316" s="41" t="str">
        <f>IF($E316="","",IF(COUNTIF($K$10:$K316,$K316)&gt;1,"DUPLICATE","No"))</f>
        <v/>
      </c>
      <c r="J316" s="41" t="str">
        <f t="shared" si="16"/>
        <v/>
      </c>
      <c r="K316" s="42" t="str">
        <f t="shared" si="17"/>
        <v/>
      </c>
      <c r="L316" s="43" t="str">
        <f t="shared" si="18"/>
        <v/>
      </c>
      <c r="M316" s="44" t="str">
        <f t="shared" si="19"/>
        <v/>
      </c>
    </row>
    <row r="317" spans="2:13" ht="12.95" customHeight="1" x14ac:dyDescent="0.25">
      <c r="B317" s="39"/>
      <c r="C317" s="37"/>
      <c r="D317" s="28"/>
      <c r="E317" s="35"/>
      <c r="F317" s="38"/>
      <c r="G317" s="38"/>
      <c r="H317" s="40"/>
      <c r="I317" s="45" t="str">
        <f>IF($E317="","",IF(COUNTIF($K$10:$K317,$K317)&gt;1,"DUPLICATE","No"))</f>
        <v/>
      </c>
      <c r="J317" s="45" t="str">
        <f t="shared" si="16"/>
        <v/>
      </c>
      <c r="K317" s="46" t="str">
        <f t="shared" si="17"/>
        <v/>
      </c>
      <c r="L317" s="47" t="str">
        <f t="shared" si="18"/>
        <v/>
      </c>
      <c r="M317" s="48" t="str">
        <f t="shared" si="19"/>
        <v/>
      </c>
    </row>
    <row r="318" spans="2:13" ht="12.95" customHeight="1" x14ac:dyDescent="0.25">
      <c r="B318" s="39"/>
      <c r="C318" s="37"/>
      <c r="D318" s="28"/>
      <c r="E318" s="35"/>
      <c r="F318" s="38"/>
      <c r="G318" s="38"/>
      <c r="H318" s="40"/>
      <c r="I318" s="41" t="str">
        <f>IF($E318="","",IF(COUNTIF($K$10:$K318,$K318)&gt;1,"DUPLICATE","No"))</f>
        <v/>
      </c>
      <c r="J318" s="41" t="str">
        <f t="shared" si="16"/>
        <v/>
      </c>
      <c r="K318" s="42" t="str">
        <f t="shared" si="17"/>
        <v/>
      </c>
      <c r="L318" s="43" t="str">
        <f t="shared" si="18"/>
        <v/>
      </c>
      <c r="M318" s="44" t="str">
        <f t="shared" si="19"/>
        <v/>
      </c>
    </row>
    <row r="319" spans="2:13" ht="12.95" customHeight="1" x14ac:dyDescent="0.25">
      <c r="B319" s="39"/>
      <c r="C319" s="37"/>
      <c r="D319" s="28"/>
      <c r="E319" s="35"/>
      <c r="F319" s="38"/>
      <c r="G319" s="38"/>
      <c r="H319" s="40"/>
      <c r="I319" s="45" t="str">
        <f>IF($E319="","",IF(COUNTIF($K$10:$K319,$K319)&gt;1,"DUPLICATE","No"))</f>
        <v/>
      </c>
      <c r="J319" s="45" t="str">
        <f t="shared" si="16"/>
        <v/>
      </c>
      <c r="K319" s="46" t="str">
        <f t="shared" si="17"/>
        <v/>
      </c>
      <c r="L319" s="47" t="str">
        <f t="shared" si="18"/>
        <v/>
      </c>
      <c r="M319" s="48" t="str">
        <f t="shared" si="19"/>
        <v/>
      </c>
    </row>
    <row r="320" spans="2:13" ht="12.95" customHeight="1" x14ac:dyDescent="0.25">
      <c r="B320" s="39"/>
      <c r="C320" s="37"/>
      <c r="D320" s="28"/>
      <c r="E320" s="35"/>
      <c r="F320" s="38"/>
      <c r="G320" s="38"/>
      <c r="H320" s="40"/>
      <c r="I320" s="41" t="str">
        <f>IF($E320="","",IF(COUNTIF($K$10:$K320,$K320)&gt;1,"DUPLICATE","No"))</f>
        <v/>
      </c>
      <c r="J320" s="41" t="str">
        <f t="shared" si="16"/>
        <v/>
      </c>
      <c r="K320" s="42" t="str">
        <f t="shared" si="17"/>
        <v/>
      </c>
      <c r="L320" s="43" t="str">
        <f t="shared" si="18"/>
        <v/>
      </c>
      <c r="M320" s="44" t="str">
        <f t="shared" si="19"/>
        <v/>
      </c>
    </row>
    <row r="321" spans="2:13" ht="12.95" customHeight="1" x14ac:dyDescent="0.25">
      <c r="B321" s="39"/>
      <c r="C321" s="37"/>
      <c r="D321" s="28"/>
      <c r="E321" s="35"/>
      <c r="F321" s="38"/>
      <c r="G321" s="38"/>
      <c r="H321" s="40"/>
      <c r="I321" s="45" t="str">
        <f>IF($E321="","",IF(COUNTIF($K$10:$K321,$K321)&gt;1,"DUPLICATE","No"))</f>
        <v/>
      </c>
      <c r="J321" s="45" t="str">
        <f t="shared" si="16"/>
        <v/>
      </c>
      <c r="K321" s="46" t="str">
        <f t="shared" si="17"/>
        <v/>
      </c>
      <c r="L321" s="47" t="str">
        <f t="shared" si="18"/>
        <v/>
      </c>
      <c r="M321" s="48" t="str">
        <f t="shared" si="19"/>
        <v/>
      </c>
    </row>
    <row r="322" spans="2:13" ht="12.95" customHeight="1" x14ac:dyDescent="0.25">
      <c r="B322" s="39"/>
      <c r="C322" s="37"/>
      <c r="D322" s="28"/>
      <c r="E322" s="35"/>
      <c r="F322" s="38"/>
      <c r="G322" s="38"/>
      <c r="H322" s="40"/>
      <c r="I322" s="41" t="str">
        <f>IF($E322="","",IF(COUNTIF($K$10:$K322,$K322)&gt;1,"DUPLICATE","No"))</f>
        <v/>
      </c>
      <c r="J322" s="41" t="str">
        <f t="shared" si="16"/>
        <v/>
      </c>
      <c r="K322" s="42" t="str">
        <f t="shared" si="17"/>
        <v/>
      </c>
      <c r="L322" s="43" t="str">
        <f t="shared" si="18"/>
        <v/>
      </c>
      <c r="M322" s="44" t="str">
        <f t="shared" si="19"/>
        <v/>
      </c>
    </row>
    <row r="323" spans="2:13" ht="12.95" customHeight="1" x14ac:dyDescent="0.25">
      <c r="B323" s="39"/>
      <c r="C323" s="37"/>
      <c r="D323" s="28"/>
      <c r="E323" s="35"/>
      <c r="F323" s="38"/>
      <c r="G323" s="38"/>
      <c r="H323" s="40"/>
      <c r="I323" s="45" t="str">
        <f>IF($E323="","",IF(COUNTIF($K$10:$K323,$K323)&gt;1,"DUPLICATE","No"))</f>
        <v/>
      </c>
      <c r="J323" s="45" t="str">
        <f t="shared" si="16"/>
        <v/>
      </c>
      <c r="K323" s="46" t="str">
        <f t="shared" si="17"/>
        <v/>
      </c>
      <c r="L323" s="47" t="str">
        <f t="shared" si="18"/>
        <v/>
      </c>
      <c r="M323" s="48" t="str">
        <f t="shared" si="19"/>
        <v/>
      </c>
    </row>
    <row r="324" spans="2:13" ht="12.95" customHeight="1" x14ac:dyDescent="0.25">
      <c r="B324" s="39"/>
      <c r="C324" s="37"/>
      <c r="D324" s="28"/>
      <c r="E324" s="35"/>
      <c r="F324" s="38"/>
      <c r="G324" s="38"/>
      <c r="H324" s="40"/>
      <c r="I324" s="41" t="str">
        <f>IF($E324="","",IF(COUNTIF($K$10:$K324,$K324)&gt;1,"DUPLICATE","No"))</f>
        <v/>
      </c>
      <c r="J324" s="41" t="str">
        <f t="shared" si="16"/>
        <v/>
      </c>
      <c r="K324" s="42" t="str">
        <f t="shared" si="17"/>
        <v/>
      </c>
      <c r="L324" s="43" t="str">
        <f t="shared" si="18"/>
        <v/>
      </c>
      <c r="M324" s="44" t="str">
        <f t="shared" si="19"/>
        <v/>
      </c>
    </row>
    <row r="325" spans="2:13" ht="12.95" customHeight="1" x14ac:dyDescent="0.25">
      <c r="B325" s="39"/>
      <c r="C325" s="37"/>
      <c r="D325" s="28"/>
      <c r="E325" s="35"/>
      <c r="F325" s="38"/>
      <c r="G325" s="38"/>
      <c r="H325" s="40"/>
      <c r="I325" s="45" t="str">
        <f>IF($E325="","",IF(COUNTIF($K$10:$K325,$K325)&gt;1,"DUPLICATE","No"))</f>
        <v/>
      </c>
      <c r="J325" s="45" t="str">
        <f t="shared" si="16"/>
        <v/>
      </c>
      <c r="K325" s="46" t="str">
        <f t="shared" si="17"/>
        <v/>
      </c>
      <c r="L325" s="47" t="str">
        <f t="shared" si="18"/>
        <v/>
      </c>
      <c r="M325" s="48" t="str">
        <f t="shared" si="19"/>
        <v/>
      </c>
    </row>
    <row r="326" spans="2:13" ht="12.95" customHeight="1" x14ac:dyDescent="0.25">
      <c r="B326" s="39"/>
      <c r="C326" s="37"/>
      <c r="D326" s="28"/>
      <c r="E326" s="35"/>
      <c r="F326" s="38"/>
      <c r="G326" s="38"/>
      <c r="H326" s="40"/>
      <c r="I326" s="41" t="str">
        <f>IF($E326="","",IF(COUNTIF($K$10:$K326,$K326)&gt;1,"DUPLICATE","No"))</f>
        <v/>
      </c>
      <c r="J326" s="41" t="str">
        <f t="shared" si="16"/>
        <v/>
      </c>
      <c r="K326" s="42" t="str">
        <f t="shared" si="17"/>
        <v/>
      </c>
      <c r="L326" s="43" t="str">
        <f t="shared" si="18"/>
        <v/>
      </c>
      <c r="M326" s="44" t="str">
        <f t="shared" si="19"/>
        <v/>
      </c>
    </row>
    <row r="327" spans="2:13" ht="12.95" customHeight="1" x14ac:dyDescent="0.25">
      <c r="B327" s="39"/>
      <c r="C327" s="37"/>
      <c r="D327" s="28"/>
      <c r="E327" s="35"/>
      <c r="F327" s="38"/>
      <c r="G327" s="38"/>
      <c r="H327" s="40"/>
      <c r="I327" s="45" t="str">
        <f>IF($E327="","",IF(COUNTIF($K$10:$K327,$K327)&gt;1,"DUPLICATE","No"))</f>
        <v/>
      </c>
      <c r="J327" s="45" t="str">
        <f t="shared" si="16"/>
        <v/>
      </c>
      <c r="K327" s="46" t="str">
        <f t="shared" si="17"/>
        <v/>
      </c>
      <c r="L327" s="47" t="str">
        <f t="shared" si="18"/>
        <v/>
      </c>
      <c r="M327" s="48" t="str">
        <f t="shared" si="19"/>
        <v/>
      </c>
    </row>
    <row r="328" spans="2:13" ht="12.95" customHeight="1" x14ac:dyDescent="0.25">
      <c r="B328" s="39"/>
      <c r="C328" s="37"/>
      <c r="D328" s="28"/>
      <c r="E328" s="35"/>
      <c r="F328" s="38"/>
      <c r="G328" s="38"/>
      <c r="H328" s="40"/>
      <c r="I328" s="41" t="str">
        <f>IF($E328="","",IF(COUNTIF($K$10:$K328,$K328)&gt;1,"DUPLICATE","No"))</f>
        <v/>
      </c>
      <c r="J328" s="41" t="str">
        <f t="shared" si="16"/>
        <v/>
      </c>
      <c r="K328" s="42" t="str">
        <f t="shared" si="17"/>
        <v/>
      </c>
      <c r="L328" s="43" t="str">
        <f t="shared" si="18"/>
        <v/>
      </c>
      <c r="M328" s="44" t="str">
        <f t="shared" si="19"/>
        <v/>
      </c>
    </row>
    <row r="329" spans="2:13" ht="12.95" customHeight="1" x14ac:dyDescent="0.25">
      <c r="B329" s="39"/>
      <c r="C329" s="37"/>
      <c r="D329" s="28"/>
      <c r="E329" s="35"/>
      <c r="F329" s="38"/>
      <c r="G329" s="38"/>
      <c r="H329" s="40"/>
      <c r="I329" s="45" t="str">
        <f>IF($E329="","",IF(COUNTIF($K$10:$K329,$K329)&gt;1,"DUPLICATE","No"))</f>
        <v/>
      </c>
      <c r="J329" s="45" t="str">
        <f t="shared" si="16"/>
        <v/>
      </c>
      <c r="K329" s="46" t="str">
        <f t="shared" si="17"/>
        <v/>
      </c>
      <c r="L329" s="47" t="str">
        <f t="shared" si="18"/>
        <v/>
      </c>
      <c r="M329" s="48" t="str">
        <f t="shared" si="19"/>
        <v/>
      </c>
    </row>
    <row r="330" spans="2:13" ht="12.95" customHeight="1" x14ac:dyDescent="0.25">
      <c r="B330" s="39"/>
      <c r="C330" s="37"/>
      <c r="D330" s="28"/>
      <c r="E330" s="35"/>
      <c r="F330" s="38"/>
      <c r="G330" s="38"/>
      <c r="H330" s="40"/>
      <c r="I330" s="41" t="str">
        <f>IF($E330="","",IF(COUNTIF($K$10:$K330,$K330)&gt;1,"DUPLICATE","No"))</f>
        <v/>
      </c>
      <c r="J330" s="41" t="str">
        <f t="shared" ref="J330:J393" si="20">IF($E330="","",IF(SUMPRODUCT(--(Txn_Acct=$D330),--(Txn_Date=$C330),--(Txn_Desc=$E330),--(ROUND(Txn_In+0,2)=ROUND(N($F330),2)),--(ROUND(Txn_Out+0,2)=ROUND(N($G330),2)))&gt;0,"ALREADY IN LEDGER","No"))</f>
        <v/>
      </c>
      <c r="K330" s="42" t="str">
        <f t="shared" ref="K330:K393" si="21">IF($E330="","",UPPER(TRIM($D330))&amp;"|"&amp;TEXT($C330,"yyyy-mm-dd")&amp;"|"&amp;UPPER(TRIM($E330))&amp;"|"&amp;TEXT(ROUND(N($F330),2),"0.00")&amp;"|"&amp;TEXT(ROUND(N($G330),2),"0.00"))</f>
        <v/>
      </c>
      <c r="L330" s="43" t="str">
        <f t="shared" ref="L330:L393" si="22">IF($E330="","",TRIM(IF($D330="","Missing account. ",IF(COUNTIF(Acct_Name,$D330)=0,"Unknown account. ",""))&amp;IF($C330="","Missing date. ",IF(NOT(ISNUMBER($C330)),"Invalid date. ",IF(AND(N($F$7)&gt;0,N($H$7)&gt;0,OR($C330&lt;$F$7,$C330&gt;$H$7)),"Outside statement period. ","")))&amp;IF(AND(N($F330)&gt;0,N($G330)&gt;0),"Both Money In and Money Out populated. ","")&amp;IF(AND(N($F330)=0,N($G330)=0),"No amount. ","")&amp;IF(OR(N($F330)&lt;0,N($G330)&lt;0),"Negative amount. ","")&amp;IF($B330="","Batch ID missing on this row - fill it down from B7. ","")&amp;IF(OR($B$7="",$D$7=""),"Batch header incomplete - fill in B7 and D7. ","")&amp;IF(OR(N($F$7)=0,N($H$7)=0),"Statement period missing on the header - the date check is OFF. ","")&amp;IF(AND(N($J$7)=0,N($L$7)=0),"Statement totals missing on the header - the tie-out is OFF. ","")))</f>
        <v/>
      </c>
      <c r="M330" s="44" t="str">
        <f t="shared" ref="M330:M393" si="23">IF($E330="","",IF(AND($L330="",$I330="No",$J330="ALREADY IN LEDGER"),"POSTED",IF(AND($L330="",$I330="No",$J330="No"),"Yes","NO")))</f>
        <v/>
      </c>
    </row>
    <row r="331" spans="2:13" ht="12.95" customHeight="1" x14ac:dyDescent="0.25">
      <c r="B331" s="39"/>
      <c r="C331" s="37"/>
      <c r="D331" s="28"/>
      <c r="E331" s="35"/>
      <c r="F331" s="38"/>
      <c r="G331" s="38"/>
      <c r="H331" s="40"/>
      <c r="I331" s="45" t="str">
        <f>IF($E331="","",IF(COUNTIF($K$10:$K331,$K331)&gt;1,"DUPLICATE","No"))</f>
        <v/>
      </c>
      <c r="J331" s="45" t="str">
        <f t="shared" si="20"/>
        <v/>
      </c>
      <c r="K331" s="46" t="str">
        <f t="shared" si="21"/>
        <v/>
      </c>
      <c r="L331" s="47" t="str">
        <f t="shared" si="22"/>
        <v/>
      </c>
      <c r="M331" s="48" t="str">
        <f t="shared" si="23"/>
        <v/>
      </c>
    </row>
    <row r="332" spans="2:13" ht="12.95" customHeight="1" x14ac:dyDescent="0.25">
      <c r="B332" s="39"/>
      <c r="C332" s="37"/>
      <c r="D332" s="28"/>
      <c r="E332" s="35"/>
      <c r="F332" s="38"/>
      <c r="G332" s="38"/>
      <c r="H332" s="40"/>
      <c r="I332" s="41" t="str">
        <f>IF($E332="","",IF(COUNTIF($K$10:$K332,$K332)&gt;1,"DUPLICATE","No"))</f>
        <v/>
      </c>
      <c r="J332" s="41" t="str">
        <f t="shared" si="20"/>
        <v/>
      </c>
      <c r="K332" s="42" t="str">
        <f t="shared" si="21"/>
        <v/>
      </c>
      <c r="L332" s="43" t="str">
        <f t="shared" si="22"/>
        <v/>
      </c>
      <c r="M332" s="44" t="str">
        <f t="shared" si="23"/>
        <v/>
      </c>
    </row>
    <row r="333" spans="2:13" ht="12.95" customHeight="1" x14ac:dyDescent="0.25">
      <c r="B333" s="39"/>
      <c r="C333" s="37"/>
      <c r="D333" s="28"/>
      <c r="E333" s="35"/>
      <c r="F333" s="38"/>
      <c r="G333" s="38"/>
      <c r="H333" s="40"/>
      <c r="I333" s="45" t="str">
        <f>IF($E333="","",IF(COUNTIF($K$10:$K333,$K333)&gt;1,"DUPLICATE","No"))</f>
        <v/>
      </c>
      <c r="J333" s="45" t="str">
        <f t="shared" si="20"/>
        <v/>
      </c>
      <c r="K333" s="46" t="str">
        <f t="shared" si="21"/>
        <v/>
      </c>
      <c r="L333" s="47" t="str">
        <f t="shared" si="22"/>
        <v/>
      </c>
      <c r="M333" s="48" t="str">
        <f t="shared" si="23"/>
        <v/>
      </c>
    </row>
    <row r="334" spans="2:13" ht="12.95" customHeight="1" x14ac:dyDescent="0.25">
      <c r="B334" s="39"/>
      <c r="C334" s="37"/>
      <c r="D334" s="28"/>
      <c r="E334" s="35"/>
      <c r="F334" s="38"/>
      <c r="G334" s="38"/>
      <c r="H334" s="40"/>
      <c r="I334" s="41" t="str">
        <f>IF($E334="","",IF(COUNTIF($K$10:$K334,$K334)&gt;1,"DUPLICATE","No"))</f>
        <v/>
      </c>
      <c r="J334" s="41" t="str">
        <f t="shared" si="20"/>
        <v/>
      </c>
      <c r="K334" s="42" t="str">
        <f t="shared" si="21"/>
        <v/>
      </c>
      <c r="L334" s="43" t="str">
        <f t="shared" si="22"/>
        <v/>
      </c>
      <c r="M334" s="44" t="str">
        <f t="shared" si="23"/>
        <v/>
      </c>
    </row>
    <row r="335" spans="2:13" ht="12.95" customHeight="1" x14ac:dyDescent="0.25">
      <c r="B335" s="39"/>
      <c r="C335" s="37"/>
      <c r="D335" s="28"/>
      <c r="E335" s="35"/>
      <c r="F335" s="38"/>
      <c r="G335" s="38"/>
      <c r="H335" s="40"/>
      <c r="I335" s="45" t="str">
        <f>IF($E335="","",IF(COUNTIF($K$10:$K335,$K335)&gt;1,"DUPLICATE","No"))</f>
        <v/>
      </c>
      <c r="J335" s="45" t="str">
        <f t="shared" si="20"/>
        <v/>
      </c>
      <c r="K335" s="46" t="str">
        <f t="shared" si="21"/>
        <v/>
      </c>
      <c r="L335" s="47" t="str">
        <f t="shared" si="22"/>
        <v/>
      </c>
      <c r="M335" s="48" t="str">
        <f t="shared" si="23"/>
        <v/>
      </c>
    </row>
    <row r="336" spans="2:13" ht="12.95" customHeight="1" x14ac:dyDescent="0.25">
      <c r="B336" s="39"/>
      <c r="C336" s="37"/>
      <c r="D336" s="28"/>
      <c r="E336" s="35"/>
      <c r="F336" s="38"/>
      <c r="G336" s="38"/>
      <c r="H336" s="40"/>
      <c r="I336" s="41" t="str">
        <f>IF($E336="","",IF(COUNTIF($K$10:$K336,$K336)&gt;1,"DUPLICATE","No"))</f>
        <v/>
      </c>
      <c r="J336" s="41" t="str">
        <f t="shared" si="20"/>
        <v/>
      </c>
      <c r="K336" s="42" t="str">
        <f t="shared" si="21"/>
        <v/>
      </c>
      <c r="L336" s="43" t="str">
        <f t="shared" si="22"/>
        <v/>
      </c>
      <c r="M336" s="44" t="str">
        <f t="shared" si="23"/>
        <v/>
      </c>
    </row>
    <row r="337" spans="2:13" ht="12.95" customHeight="1" x14ac:dyDescent="0.25">
      <c r="B337" s="39"/>
      <c r="C337" s="37"/>
      <c r="D337" s="28"/>
      <c r="E337" s="35"/>
      <c r="F337" s="38"/>
      <c r="G337" s="38"/>
      <c r="H337" s="40"/>
      <c r="I337" s="45" t="str">
        <f>IF($E337="","",IF(COUNTIF($K$10:$K337,$K337)&gt;1,"DUPLICATE","No"))</f>
        <v/>
      </c>
      <c r="J337" s="45" t="str">
        <f t="shared" si="20"/>
        <v/>
      </c>
      <c r="K337" s="46" t="str">
        <f t="shared" si="21"/>
        <v/>
      </c>
      <c r="L337" s="47" t="str">
        <f t="shared" si="22"/>
        <v/>
      </c>
      <c r="M337" s="48" t="str">
        <f t="shared" si="23"/>
        <v/>
      </c>
    </row>
    <row r="338" spans="2:13" ht="12.95" customHeight="1" x14ac:dyDescent="0.25">
      <c r="B338" s="39"/>
      <c r="C338" s="37"/>
      <c r="D338" s="28"/>
      <c r="E338" s="35"/>
      <c r="F338" s="38"/>
      <c r="G338" s="38"/>
      <c r="H338" s="40"/>
      <c r="I338" s="41" t="str">
        <f>IF($E338="","",IF(COUNTIF($K$10:$K338,$K338)&gt;1,"DUPLICATE","No"))</f>
        <v/>
      </c>
      <c r="J338" s="41" t="str">
        <f t="shared" si="20"/>
        <v/>
      </c>
      <c r="K338" s="42" t="str">
        <f t="shared" si="21"/>
        <v/>
      </c>
      <c r="L338" s="43" t="str">
        <f t="shared" si="22"/>
        <v/>
      </c>
      <c r="M338" s="44" t="str">
        <f t="shared" si="23"/>
        <v/>
      </c>
    </row>
    <row r="339" spans="2:13" ht="12.95" customHeight="1" x14ac:dyDescent="0.25">
      <c r="B339" s="39"/>
      <c r="C339" s="37"/>
      <c r="D339" s="28"/>
      <c r="E339" s="35"/>
      <c r="F339" s="38"/>
      <c r="G339" s="38"/>
      <c r="H339" s="40"/>
      <c r="I339" s="45" t="str">
        <f>IF($E339="","",IF(COUNTIF($K$10:$K339,$K339)&gt;1,"DUPLICATE","No"))</f>
        <v/>
      </c>
      <c r="J339" s="45" t="str">
        <f t="shared" si="20"/>
        <v/>
      </c>
      <c r="K339" s="46" t="str">
        <f t="shared" si="21"/>
        <v/>
      </c>
      <c r="L339" s="47" t="str">
        <f t="shared" si="22"/>
        <v/>
      </c>
      <c r="M339" s="48" t="str">
        <f t="shared" si="23"/>
        <v/>
      </c>
    </row>
    <row r="340" spans="2:13" ht="12.95" customHeight="1" x14ac:dyDescent="0.25">
      <c r="B340" s="39"/>
      <c r="C340" s="37"/>
      <c r="D340" s="28"/>
      <c r="E340" s="35"/>
      <c r="F340" s="38"/>
      <c r="G340" s="38"/>
      <c r="H340" s="40"/>
      <c r="I340" s="41" t="str">
        <f>IF($E340="","",IF(COUNTIF($K$10:$K340,$K340)&gt;1,"DUPLICATE","No"))</f>
        <v/>
      </c>
      <c r="J340" s="41" t="str">
        <f t="shared" si="20"/>
        <v/>
      </c>
      <c r="K340" s="42" t="str">
        <f t="shared" si="21"/>
        <v/>
      </c>
      <c r="L340" s="43" t="str">
        <f t="shared" si="22"/>
        <v/>
      </c>
      <c r="M340" s="44" t="str">
        <f t="shared" si="23"/>
        <v/>
      </c>
    </row>
    <row r="341" spans="2:13" ht="12.95" customHeight="1" x14ac:dyDescent="0.25">
      <c r="B341" s="39"/>
      <c r="C341" s="37"/>
      <c r="D341" s="28"/>
      <c r="E341" s="35"/>
      <c r="F341" s="38"/>
      <c r="G341" s="38"/>
      <c r="H341" s="40"/>
      <c r="I341" s="45" t="str">
        <f>IF($E341="","",IF(COUNTIF($K$10:$K341,$K341)&gt;1,"DUPLICATE","No"))</f>
        <v/>
      </c>
      <c r="J341" s="45" t="str">
        <f t="shared" si="20"/>
        <v/>
      </c>
      <c r="K341" s="46" t="str">
        <f t="shared" si="21"/>
        <v/>
      </c>
      <c r="L341" s="47" t="str">
        <f t="shared" si="22"/>
        <v/>
      </c>
      <c r="M341" s="48" t="str">
        <f t="shared" si="23"/>
        <v/>
      </c>
    </row>
    <row r="342" spans="2:13" ht="12.95" customHeight="1" x14ac:dyDescent="0.25">
      <c r="B342" s="39"/>
      <c r="C342" s="37"/>
      <c r="D342" s="28"/>
      <c r="E342" s="35"/>
      <c r="F342" s="38"/>
      <c r="G342" s="38"/>
      <c r="H342" s="40"/>
      <c r="I342" s="41" t="str">
        <f>IF($E342="","",IF(COUNTIF($K$10:$K342,$K342)&gt;1,"DUPLICATE","No"))</f>
        <v/>
      </c>
      <c r="J342" s="41" t="str">
        <f t="shared" si="20"/>
        <v/>
      </c>
      <c r="K342" s="42" t="str">
        <f t="shared" si="21"/>
        <v/>
      </c>
      <c r="L342" s="43" t="str">
        <f t="shared" si="22"/>
        <v/>
      </c>
      <c r="M342" s="44" t="str">
        <f t="shared" si="23"/>
        <v/>
      </c>
    </row>
    <row r="343" spans="2:13" ht="12.95" customHeight="1" x14ac:dyDescent="0.25">
      <c r="B343" s="39"/>
      <c r="C343" s="37"/>
      <c r="D343" s="28"/>
      <c r="E343" s="35"/>
      <c r="F343" s="38"/>
      <c r="G343" s="38"/>
      <c r="H343" s="40"/>
      <c r="I343" s="45" t="str">
        <f>IF($E343="","",IF(COUNTIF($K$10:$K343,$K343)&gt;1,"DUPLICATE","No"))</f>
        <v/>
      </c>
      <c r="J343" s="45" t="str">
        <f t="shared" si="20"/>
        <v/>
      </c>
      <c r="K343" s="46" t="str">
        <f t="shared" si="21"/>
        <v/>
      </c>
      <c r="L343" s="47" t="str">
        <f t="shared" si="22"/>
        <v/>
      </c>
      <c r="M343" s="48" t="str">
        <f t="shared" si="23"/>
        <v/>
      </c>
    </row>
    <row r="344" spans="2:13" ht="12.95" customHeight="1" x14ac:dyDescent="0.25">
      <c r="B344" s="39"/>
      <c r="C344" s="37"/>
      <c r="D344" s="28"/>
      <c r="E344" s="35"/>
      <c r="F344" s="38"/>
      <c r="G344" s="38"/>
      <c r="H344" s="40"/>
      <c r="I344" s="41" t="str">
        <f>IF($E344="","",IF(COUNTIF($K$10:$K344,$K344)&gt;1,"DUPLICATE","No"))</f>
        <v/>
      </c>
      <c r="J344" s="41" t="str">
        <f t="shared" si="20"/>
        <v/>
      </c>
      <c r="K344" s="42" t="str">
        <f t="shared" si="21"/>
        <v/>
      </c>
      <c r="L344" s="43" t="str">
        <f t="shared" si="22"/>
        <v/>
      </c>
      <c r="M344" s="44" t="str">
        <f t="shared" si="23"/>
        <v/>
      </c>
    </row>
    <row r="345" spans="2:13" ht="12.95" customHeight="1" x14ac:dyDescent="0.25">
      <c r="B345" s="39"/>
      <c r="C345" s="37"/>
      <c r="D345" s="28"/>
      <c r="E345" s="35"/>
      <c r="F345" s="38"/>
      <c r="G345" s="38"/>
      <c r="H345" s="40"/>
      <c r="I345" s="45" t="str">
        <f>IF($E345="","",IF(COUNTIF($K$10:$K345,$K345)&gt;1,"DUPLICATE","No"))</f>
        <v/>
      </c>
      <c r="J345" s="45" t="str">
        <f t="shared" si="20"/>
        <v/>
      </c>
      <c r="K345" s="46" t="str">
        <f t="shared" si="21"/>
        <v/>
      </c>
      <c r="L345" s="47" t="str">
        <f t="shared" si="22"/>
        <v/>
      </c>
      <c r="M345" s="48" t="str">
        <f t="shared" si="23"/>
        <v/>
      </c>
    </row>
    <row r="346" spans="2:13" ht="12.95" customHeight="1" x14ac:dyDescent="0.25">
      <c r="B346" s="39"/>
      <c r="C346" s="37"/>
      <c r="D346" s="28"/>
      <c r="E346" s="35"/>
      <c r="F346" s="38"/>
      <c r="G346" s="38"/>
      <c r="H346" s="40"/>
      <c r="I346" s="41" t="str">
        <f>IF($E346="","",IF(COUNTIF($K$10:$K346,$K346)&gt;1,"DUPLICATE","No"))</f>
        <v/>
      </c>
      <c r="J346" s="41" t="str">
        <f t="shared" si="20"/>
        <v/>
      </c>
      <c r="K346" s="42" t="str">
        <f t="shared" si="21"/>
        <v/>
      </c>
      <c r="L346" s="43" t="str">
        <f t="shared" si="22"/>
        <v/>
      </c>
      <c r="M346" s="44" t="str">
        <f t="shared" si="23"/>
        <v/>
      </c>
    </row>
    <row r="347" spans="2:13" ht="12.95" customHeight="1" x14ac:dyDescent="0.25">
      <c r="B347" s="39"/>
      <c r="C347" s="37"/>
      <c r="D347" s="28"/>
      <c r="E347" s="35"/>
      <c r="F347" s="38"/>
      <c r="G347" s="38"/>
      <c r="H347" s="40"/>
      <c r="I347" s="45" t="str">
        <f>IF($E347="","",IF(COUNTIF($K$10:$K347,$K347)&gt;1,"DUPLICATE","No"))</f>
        <v/>
      </c>
      <c r="J347" s="45" t="str">
        <f t="shared" si="20"/>
        <v/>
      </c>
      <c r="K347" s="46" t="str">
        <f t="shared" si="21"/>
        <v/>
      </c>
      <c r="L347" s="47" t="str">
        <f t="shared" si="22"/>
        <v/>
      </c>
      <c r="M347" s="48" t="str">
        <f t="shared" si="23"/>
        <v/>
      </c>
    </row>
    <row r="348" spans="2:13" ht="12.95" customHeight="1" x14ac:dyDescent="0.25">
      <c r="B348" s="39"/>
      <c r="C348" s="37"/>
      <c r="D348" s="28"/>
      <c r="E348" s="35"/>
      <c r="F348" s="38"/>
      <c r="G348" s="38"/>
      <c r="H348" s="40"/>
      <c r="I348" s="41" t="str">
        <f>IF($E348="","",IF(COUNTIF($K$10:$K348,$K348)&gt;1,"DUPLICATE","No"))</f>
        <v/>
      </c>
      <c r="J348" s="41" t="str">
        <f t="shared" si="20"/>
        <v/>
      </c>
      <c r="K348" s="42" t="str">
        <f t="shared" si="21"/>
        <v/>
      </c>
      <c r="L348" s="43" t="str">
        <f t="shared" si="22"/>
        <v/>
      </c>
      <c r="M348" s="44" t="str">
        <f t="shared" si="23"/>
        <v/>
      </c>
    </row>
    <row r="349" spans="2:13" ht="12.95" customHeight="1" x14ac:dyDescent="0.25">
      <c r="B349" s="39"/>
      <c r="C349" s="37"/>
      <c r="D349" s="28"/>
      <c r="E349" s="35"/>
      <c r="F349" s="38"/>
      <c r="G349" s="38"/>
      <c r="H349" s="40"/>
      <c r="I349" s="45" t="str">
        <f>IF($E349="","",IF(COUNTIF($K$10:$K349,$K349)&gt;1,"DUPLICATE","No"))</f>
        <v/>
      </c>
      <c r="J349" s="45" t="str">
        <f t="shared" si="20"/>
        <v/>
      </c>
      <c r="K349" s="46" t="str">
        <f t="shared" si="21"/>
        <v/>
      </c>
      <c r="L349" s="47" t="str">
        <f t="shared" si="22"/>
        <v/>
      </c>
      <c r="M349" s="48" t="str">
        <f t="shared" si="23"/>
        <v/>
      </c>
    </row>
    <row r="350" spans="2:13" ht="12.95" customHeight="1" x14ac:dyDescent="0.25">
      <c r="B350" s="39"/>
      <c r="C350" s="37"/>
      <c r="D350" s="28"/>
      <c r="E350" s="35"/>
      <c r="F350" s="38"/>
      <c r="G350" s="38"/>
      <c r="H350" s="40"/>
      <c r="I350" s="41" t="str">
        <f>IF($E350="","",IF(COUNTIF($K$10:$K350,$K350)&gt;1,"DUPLICATE","No"))</f>
        <v/>
      </c>
      <c r="J350" s="41" t="str">
        <f t="shared" si="20"/>
        <v/>
      </c>
      <c r="K350" s="42" t="str">
        <f t="shared" si="21"/>
        <v/>
      </c>
      <c r="L350" s="43" t="str">
        <f t="shared" si="22"/>
        <v/>
      </c>
      <c r="M350" s="44" t="str">
        <f t="shared" si="23"/>
        <v/>
      </c>
    </row>
    <row r="351" spans="2:13" ht="12.95" customHeight="1" x14ac:dyDescent="0.25">
      <c r="B351" s="39"/>
      <c r="C351" s="37"/>
      <c r="D351" s="28"/>
      <c r="E351" s="35"/>
      <c r="F351" s="38"/>
      <c r="G351" s="38"/>
      <c r="H351" s="40"/>
      <c r="I351" s="45" t="str">
        <f>IF($E351="","",IF(COUNTIF($K$10:$K351,$K351)&gt;1,"DUPLICATE","No"))</f>
        <v/>
      </c>
      <c r="J351" s="45" t="str">
        <f t="shared" si="20"/>
        <v/>
      </c>
      <c r="K351" s="46" t="str">
        <f t="shared" si="21"/>
        <v/>
      </c>
      <c r="L351" s="47" t="str">
        <f t="shared" si="22"/>
        <v/>
      </c>
      <c r="M351" s="48" t="str">
        <f t="shared" si="23"/>
        <v/>
      </c>
    </row>
    <row r="352" spans="2:13" ht="12.95" customHeight="1" x14ac:dyDescent="0.25">
      <c r="B352" s="39"/>
      <c r="C352" s="37"/>
      <c r="D352" s="28"/>
      <c r="E352" s="35"/>
      <c r="F352" s="38"/>
      <c r="G352" s="38"/>
      <c r="H352" s="40"/>
      <c r="I352" s="41" t="str">
        <f>IF($E352="","",IF(COUNTIF($K$10:$K352,$K352)&gt;1,"DUPLICATE","No"))</f>
        <v/>
      </c>
      <c r="J352" s="41" t="str">
        <f t="shared" si="20"/>
        <v/>
      </c>
      <c r="K352" s="42" t="str">
        <f t="shared" si="21"/>
        <v/>
      </c>
      <c r="L352" s="43" t="str">
        <f t="shared" si="22"/>
        <v/>
      </c>
      <c r="M352" s="44" t="str">
        <f t="shared" si="23"/>
        <v/>
      </c>
    </row>
    <row r="353" spans="2:13" ht="12.95" customHeight="1" x14ac:dyDescent="0.25">
      <c r="B353" s="39"/>
      <c r="C353" s="37"/>
      <c r="D353" s="28"/>
      <c r="E353" s="35"/>
      <c r="F353" s="38"/>
      <c r="G353" s="38"/>
      <c r="H353" s="40"/>
      <c r="I353" s="45" t="str">
        <f>IF($E353="","",IF(COUNTIF($K$10:$K353,$K353)&gt;1,"DUPLICATE","No"))</f>
        <v/>
      </c>
      <c r="J353" s="45" t="str">
        <f t="shared" si="20"/>
        <v/>
      </c>
      <c r="K353" s="46" t="str">
        <f t="shared" si="21"/>
        <v/>
      </c>
      <c r="L353" s="47" t="str">
        <f t="shared" si="22"/>
        <v/>
      </c>
      <c r="M353" s="48" t="str">
        <f t="shared" si="23"/>
        <v/>
      </c>
    </row>
    <row r="354" spans="2:13" ht="12.95" customHeight="1" x14ac:dyDescent="0.25">
      <c r="B354" s="39"/>
      <c r="C354" s="37"/>
      <c r="D354" s="28"/>
      <c r="E354" s="35"/>
      <c r="F354" s="38"/>
      <c r="G354" s="38"/>
      <c r="H354" s="40"/>
      <c r="I354" s="41" t="str">
        <f>IF($E354="","",IF(COUNTIF($K$10:$K354,$K354)&gt;1,"DUPLICATE","No"))</f>
        <v/>
      </c>
      <c r="J354" s="41" t="str">
        <f t="shared" si="20"/>
        <v/>
      </c>
      <c r="K354" s="42" t="str">
        <f t="shared" si="21"/>
        <v/>
      </c>
      <c r="L354" s="43" t="str">
        <f t="shared" si="22"/>
        <v/>
      </c>
      <c r="M354" s="44" t="str">
        <f t="shared" si="23"/>
        <v/>
      </c>
    </row>
    <row r="355" spans="2:13" ht="12.95" customHeight="1" x14ac:dyDescent="0.25">
      <c r="B355" s="39"/>
      <c r="C355" s="37"/>
      <c r="D355" s="28"/>
      <c r="E355" s="35"/>
      <c r="F355" s="38"/>
      <c r="G355" s="38"/>
      <c r="H355" s="40"/>
      <c r="I355" s="45" t="str">
        <f>IF($E355="","",IF(COUNTIF($K$10:$K355,$K355)&gt;1,"DUPLICATE","No"))</f>
        <v/>
      </c>
      <c r="J355" s="45" t="str">
        <f t="shared" si="20"/>
        <v/>
      </c>
      <c r="K355" s="46" t="str">
        <f t="shared" si="21"/>
        <v/>
      </c>
      <c r="L355" s="47" t="str">
        <f t="shared" si="22"/>
        <v/>
      </c>
      <c r="M355" s="48" t="str">
        <f t="shared" si="23"/>
        <v/>
      </c>
    </row>
    <row r="356" spans="2:13" ht="12.95" customHeight="1" x14ac:dyDescent="0.25">
      <c r="B356" s="39"/>
      <c r="C356" s="37"/>
      <c r="D356" s="28"/>
      <c r="E356" s="35"/>
      <c r="F356" s="38"/>
      <c r="G356" s="38"/>
      <c r="H356" s="40"/>
      <c r="I356" s="41" t="str">
        <f>IF($E356="","",IF(COUNTIF($K$10:$K356,$K356)&gt;1,"DUPLICATE","No"))</f>
        <v/>
      </c>
      <c r="J356" s="41" t="str">
        <f t="shared" si="20"/>
        <v/>
      </c>
      <c r="K356" s="42" t="str">
        <f t="shared" si="21"/>
        <v/>
      </c>
      <c r="L356" s="43" t="str">
        <f t="shared" si="22"/>
        <v/>
      </c>
      <c r="M356" s="44" t="str">
        <f t="shared" si="23"/>
        <v/>
      </c>
    </row>
    <row r="357" spans="2:13" ht="12.95" customHeight="1" x14ac:dyDescent="0.25">
      <c r="B357" s="39"/>
      <c r="C357" s="37"/>
      <c r="D357" s="28"/>
      <c r="E357" s="35"/>
      <c r="F357" s="38"/>
      <c r="G357" s="38"/>
      <c r="H357" s="40"/>
      <c r="I357" s="45" t="str">
        <f>IF($E357="","",IF(COUNTIF($K$10:$K357,$K357)&gt;1,"DUPLICATE","No"))</f>
        <v/>
      </c>
      <c r="J357" s="45" t="str">
        <f t="shared" si="20"/>
        <v/>
      </c>
      <c r="K357" s="46" t="str">
        <f t="shared" si="21"/>
        <v/>
      </c>
      <c r="L357" s="47" t="str">
        <f t="shared" si="22"/>
        <v/>
      </c>
      <c r="M357" s="48" t="str">
        <f t="shared" si="23"/>
        <v/>
      </c>
    </row>
    <row r="358" spans="2:13" ht="12.95" customHeight="1" x14ac:dyDescent="0.25">
      <c r="B358" s="39"/>
      <c r="C358" s="37"/>
      <c r="D358" s="28"/>
      <c r="E358" s="35"/>
      <c r="F358" s="38"/>
      <c r="G358" s="38"/>
      <c r="H358" s="40"/>
      <c r="I358" s="41" t="str">
        <f>IF($E358="","",IF(COUNTIF($K$10:$K358,$K358)&gt;1,"DUPLICATE","No"))</f>
        <v/>
      </c>
      <c r="J358" s="41" t="str">
        <f t="shared" si="20"/>
        <v/>
      </c>
      <c r="K358" s="42" t="str">
        <f t="shared" si="21"/>
        <v/>
      </c>
      <c r="L358" s="43" t="str">
        <f t="shared" si="22"/>
        <v/>
      </c>
      <c r="M358" s="44" t="str">
        <f t="shared" si="23"/>
        <v/>
      </c>
    </row>
    <row r="359" spans="2:13" ht="12.95" customHeight="1" x14ac:dyDescent="0.25">
      <c r="B359" s="39"/>
      <c r="C359" s="37"/>
      <c r="D359" s="28"/>
      <c r="E359" s="35"/>
      <c r="F359" s="38"/>
      <c r="G359" s="38"/>
      <c r="H359" s="40"/>
      <c r="I359" s="45" t="str">
        <f>IF($E359="","",IF(COUNTIF($K$10:$K359,$K359)&gt;1,"DUPLICATE","No"))</f>
        <v/>
      </c>
      <c r="J359" s="45" t="str">
        <f t="shared" si="20"/>
        <v/>
      </c>
      <c r="K359" s="46" t="str">
        <f t="shared" si="21"/>
        <v/>
      </c>
      <c r="L359" s="47" t="str">
        <f t="shared" si="22"/>
        <v/>
      </c>
      <c r="M359" s="48" t="str">
        <f t="shared" si="23"/>
        <v/>
      </c>
    </row>
    <row r="360" spans="2:13" ht="12.95" customHeight="1" x14ac:dyDescent="0.25">
      <c r="B360" s="39"/>
      <c r="C360" s="37"/>
      <c r="D360" s="28"/>
      <c r="E360" s="35"/>
      <c r="F360" s="38"/>
      <c r="G360" s="38"/>
      <c r="H360" s="40"/>
      <c r="I360" s="41" t="str">
        <f>IF($E360="","",IF(COUNTIF($K$10:$K360,$K360)&gt;1,"DUPLICATE","No"))</f>
        <v/>
      </c>
      <c r="J360" s="41" t="str">
        <f t="shared" si="20"/>
        <v/>
      </c>
      <c r="K360" s="42" t="str">
        <f t="shared" si="21"/>
        <v/>
      </c>
      <c r="L360" s="43" t="str">
        <f t="shared" si="22"/>
        <v/>
      </c>
      <c r="M360" s="44" t="str">
        <f t="shared" si="23"/>
        <v/>
      </c>
    </row>
    <row r="361" spans="2:13" ht="12.95" customHeight="1" x14ac:dyDescent="0.25">
      <c r="B361" s="39"/>
      <c r="C361" s="37"/>
      <c r="D361" s="28"/>
      <c r="E361" s="35"/>
      <c r="F361" s="38"/>
      <c r="G361" s="38"/>
      <c r="H361" s="40"/>
      <c r="I361" s="45" t="str">
        <f>IF($E361="","",IF(COUNTIF($K$10:$K361,$K361)&gt;1,"DUPLICATE","No"))</f>
        <v/>
      </c>
      <c r="J361" s="45" t="str">
        <f t="shared" si="20"/>
        <v/>
      </c>
      <c r="K361" s="46" t="str">
        <f t="shared" si="21"/>
        <v/>
      </c>
      <c r="L361" s="47" t="str">
        <f t="shared" si="22"/>
        <v/>
      </c>
      <c r="M361" s="48" t="str">
        <f t="shared" si="23"/>
        <v/>
      </c>
    </row>
    <row r="362" spans="2:13" ht="12.95" customHeight="1" x14ac:dyDescent="0.25">
      <c r="B362" s="39"/>
      <c r="C362" s="37"/>
      <c r="D362" s="28"/>
      <c r="E362" s="35"/>
      <c r="F362" s="38"/>
      <c r="G362" s="38"/>
      <c r="H362" s="40"/>
      <c r="I362" s="41" t="str">
        <f>IF($E362="","",IF(COUNTIF($K$10:$K362,$K362)&gt;1,"DUPLICATE","No"))</f>
        <v/>
      </c>
      <c r="J362" s="41" t="str">
        <f t="shared" si="20"/>
        <v/>
      </c>
      <c r="K362" s="42" t="str">
        <f t="shared" si="21"/>
        <v/>
      </c>
      <c r="L362" s="43" t="str">
        <f t="shared" si="22"/>
        <v/>
      </c>
      <c r="M362" s="44" t="str">
        <f t="shared" si="23"/>
        <v/>
      </c>
    </row>
    <row r="363" spans="2:13" ht="12.95" customHeight="1" x14ac:dyDescent="0.25">
      <c r="B363" s="39"/>
      <c r="C363" s="37"/>
      <c r="D363" s="28"/>
      <c r="E363" s="35"/>
      <c r="F363" s="38"/>
      <c r="G363" s="38"/>
      <c r="H363" s="40"/>
      <c r="I363" s="45" t="str">
        <f>IF($E363="","",IF(COUNTIF($K$10:$K363,$K363)&gt;1,"DUPLICATE","No"))</f>
        <v/>
      </c>
      <c r="J363" s="45" t="str">
        <f t="shared" si="20"/>
        <v/>
      </c>
      <c r="K363" s="46" t="str">
        <f t="shared" si="21"/>
        <v/>
      </c>
      <c r="L363" s="47" t="str">
        <f t="shared" si="22"/>
        <v/>
      </c>
      <c r="M363" s="48" t="str">
        <f t="shared" si="23"/>
        <v/>
      </c>
    </row>
    <row r="364" spans="2:13" ht="12.95" customHeight="1" x14ac:dyDescent="0.25">
      <c r="B364" s="39"/>
      <c r="C364" s="37"/>
      <c r="D364" s="28"/>
      <c r="E364" s="35"/>
      <c r="F364" s="38"/>
      <c r="G364" s="38"/>
      <c r="H364" s="40"/>
      <c r="I364" s="41" t="str">
        <f>IF($E364="","",IF(COUNTIF($K$10:$K364,$K364)&gt;1,"DUPLICATE","No"))</f>
        <v/>
      </c>
      <c r="J364" s="41" t="str">
        <f t="shared" si="20"/>
        <v/>
      </c>
      <c r="K364" s="42" t="str">
        <f t="shared" si="21"/>
        <v/>
      </c>
      <c r="L364" s="43" t="str">
        <f t="shared" si="22"/>
        <v/>
      </c>
      <c r="M364" s="44" t="str">
        <f t="shared" si="23"/>
        <v/>
      </c>
    </row>
    <row r="365" spans="2:13" ht="12.95" customHeight="1" x14ac:dyDescent="0.25">
      <c r="B365" s="39"/>
      <c r="C365" s="37"/>
      <c r="D365" s="28"/>
      <c r="E365" s="35"/>
      <c r="F365" s="38"/>
      <c r="G365" s="38"/>
      <c r="H365" s="40"/>
      <c r="I365" s="45" t="str">
        <f>IF($E365="","",IF(COUNTIF($K$10:$K365,$K365)&gt;1,"DUPLICATE","No"))</f>
        <v/>
      </c>
      <c r="J365" s="45" t="str">
        <f t="shared" si="20"/>
        <v/>
      </c>
      <c r="K365" s="46" t="str">
        <f t="shared" si="21"/>
        <v/>
      </c>
      <c r="L365" s="47" t="str">
        <f t="shared" si="22"/>
        <v/>
      </c>
      <c r="M365" s="48" t="str">
        <f t="shared" si="23"/>
        <v/>
      </c>
    </row>
    <row r="366" spans="2:13" ht="12.95" customHeight="1" x14ac:dyDescent="0.25">
      <c r="B366" s="39"/>
      <c r="C366" s="37"/>
      <c r="D366" s="28"/>
      <c r="E366" s="35"/>
      <c r="F366" s="38"/>
      <c r="G366" s="38"/>
      <c r="H366" s="40"/>
      <c r="I366" s="41" t="str">
        <f>IF($E366="","",IF(COUNTIF($K$10:$K366,$K366)&gt;1,"DUPLICATE","No"))</f>
        <v/>
      </c>
      <c r="J366" s="41" t="str">
        <f t="shared" si="20"/>
        <v/>
      </c>
      <c r="K366" s="42" t="str">
        <f t="shared" si="21"/>
        <v/>
      </c>
      <c r="L366" s="43" t="str">
        <f t="shared" si="22"/>
        <v/>
      </c>
      <c r="M366" s="44" t="str">
        <f t="shared" si="23"/>
        <v/>
      </c>
    </row>
    <row r="367" spans="2:13" ht="12.95" customHeight="1" x14ac:dyDescent="0.25">
      <c r="B367" s="39"/>
      <c r="C367" s="37"/>
      <c r="D367" s="28"/>
      <c r="E367" s="35"/>
      <c r="F367" s="38"/>
      <c r="G367" s="38"/>
      <c r="H367" s="40"/>
      <c r="I367" s="45" t="str">
        <f>IF($E367="","",IF(COUNTIF($K$10:$K367,$K367)&gt;1,"DUPLICATE","No"))</f>
        <v/>
      </c>
      <c r="J367" s="45" t="str">
        <f t="shared" si="20"/>
        <v/>
      </c>
      <c r="K367" s="46" t="str">
        <f t="shared" si="21"/>
        <v/>
      </c>
      <c r="L367" s="47" t="str">
        <f t="shared" si="22"/>
        <v/>
      </c>
      <c r="M367" s="48" t="str">
        <f t="shared" si="23"/>
        <v/>
      </c>
    </row>
    <row r="368" spans="2:13" ht="12.95" customHeight="1" x14ac:dyDescent="0.25">
      <c r="B368" s="39"/>
      <c r="C368" s="37"/>
      <c r="D368" s="28"/>
      <c r="E368" s="35"/>
      <c r="F368" s="38"/>
      <c r="G368" s="38"/>
      <c r="H368" s="40"/>
      <c r="I368" s="41" t="str">
        <f>IF($E368="","",IF(COUNTIF($K$10:$K368,$K368)&gt;1,"DUPLICATE","No"))</f>
        <v/>
      </c>
      <c r="J368" s="41" t="str">
        <f t="shared" si="20"/>
        <v/>
      </c>
      <c r="K368" s="42" t="str">
        <f t="shared" si="21"/>
        <v/>
      </c>
      <c r="L368" s="43" t="str">
        <f t="shared" si="22"/>
        <v/>
      </c>
      <c r="M368" s="44" t="str">
        <f t="shared" si="23"/>
        <v/>
      </c>
    </row>
    <row r="369" spans="2:13" ht="12.95" customHeight="1" x14ac:dyDescent="0.25">
      <c r="B369" s="39"/>
      <c r="C369" s="37"/>
      <c r="D369" s="28"/>
      <c r="E369" s="35"/>
      <c r="F369" s="38"/>
      <c r="G369" s="38"/>
      <c r="H369" s="40"/>
      <c r="I369" s="45" t="str">
        <f>IF($E369="","",IF(COUNTIF($K$10:$K369,$K369)&gt;1,"DUPLICATE","No"))</f>
        <v/>
      </c>
      <c r="J369" s="45" t="str">
        <f t="shared" si="20"/>
        <v/>
      </c>
      <c r="K369" s="46" t="str">
        <f t="shared" si="21"/>
        <v/>
      </c>
      <c r="L369" s="47" t="str">
        <f t="shared" si="22"/>
        <v/>
      </c>
      <c r="M369" s="48" t="str">
        <f t="shared" si="23"/>
        <v/>
      </c>
    </row>
    <row r="370" spans="2:13" ht="12.95" customHeight="1" x14ac:dyDescent="0.25">
      <c r="B370" s="39"/>
      <c r="C370" s="37"/>
      <c r="D370" s="28"/>
      <c r="E370" s="35"/>
      <c r="F370" s="38"/>
      <c r="G370" s="38"/>
      <c r="H370" s="40"/>
      <c r="I370" s="41" t="str">
        <f>IF($E370="","",IF(COUNTIF($K$10:$K370,$K370)&gt;1,"DUPLICATE","No"))</f>
        <v/>
      </c>
      <c r="J370" s="41" t="str">
        <f t="shared" si="20"/>
        <v/>
      </c>
      <c r="K370" s="42" t="str">
        <f t="shared" si="21"/>
        <v/>
      </c>
      <c r="L370" s="43" t="str">
        <f t="shared" si="22"/>
        <v/>
      </c>
      <c r="M370" s="44" t="str">
        <f t="shared" si="23"/>
        <v/>
      </c>
    </row>
    <row r="371" spans="2:13" ht="12.95" customHeight="1" x14ac:dyDescent="0.25">
      <c r="B371" s="39"/>
      <c r="C371" s="37"/>
      <c r="D371" s="28"/>
      <c r="E371" s="35"/>
      <c r="F371" s="38"/>
      <c r="G371" s="38"/>
      <c r="H371" s="40"/>
      <c r="I371" s="45" t="str">
        <f>IF($E371="","",IF(COUNTIF($K$10:$K371,$K371)&gt;1,"DUPLICATE","No"))</f>
        <v/>
      </c>
      <c r="J371" s="45" t="str">
        <f t="shared" si="20"/>
        <v/>
      </c>
      <c r="K371" s="46" t="str">
        <f t="shared" si="21"/>
        <v/>
      </c>
      <c r="L371" s="47" t="str">
        <f t="shared" si="22"/>
        <v/>
      </c>
      <c r="M371" s="48" t="str">
        <f t="shared" si="23"/>
        <v/>
      </c>
    </row>
    <row r="372" spans="2:13" ht="12.95" customHeight="1" x14ac:dyDescent="0.25">
      <c r="B372" s="39"/>
      <c r="C372" s="37"/>
      <c r="D372" s="28"/>
      <c r="E372" s="35"/>
      <c r="F372" s="38"/>
      <c r="G372" s="38"/>
      <c r="H372" s="40"/>
      <c r="I372" s="41" t="str">
        <f>IF($E372="","",IF(COUNTIF($K$10:$K372,$K372)&gt;1,"DUPLICATE","No"))</f>
        <v/>
      </c>
      <c r="J372" s="41" t="str">
        <f t="shared" si="20"/>
        <v/>
      </c>
      <c r="K372" s="42" t="str">
        <f t="shared" si="21"/>
        <v/>
      </c>
      <c r="L372" s="43" t="str">
        <f t="shared" si="22"/>
        <v/>
      </c>
      <c r="M372" s="44" t="str">
        <f t="shared" si="23"/>
        <v/>
      </c>
    </row>
    <row r="373" spans="2:13" ht="12.95" customHeight="1" x14ac:dyDescent="0.25">
      <c r="B373" s="39"/>
      <c r="C373" s="37"/>
      <c r="D373" s="28"/>
      <c r="E373" s="35"/>
      <c r="F373" s="38"/>
      <c r="G373" s="38"/>
      <c r="H373" s="40"/>
      <c r="I373" s="45" t="str">
        <f>IF($E373="","",IF(COUNTIF($K$10:$K373,$K373)&gt;1,"DUPLICATE","No"))</f>
        <v/>
      </c>
      <c r="J373" s="45" t="str">
        <f t="shared" si="20"/>
        <v/>
      </c>
      <c r="K373" s="46" t="str">
        <f t="shared" si="21"/>
        <v/>
      </c>
      <c r="L373" s="47" t="str">
        <f t="shared" si="22"/>
        <v/>
      </c>
      <c r="M373" s="48" t="str">
        <f t="shared" si="23"/>
        <v/>
      </c>
    </row>
    <row r="374" spans="2:13" ht="12.95" customHeight="1" x14ac:dyDescent="0.25">
      <c r="B374" s="39"/>
      <c r="C374" s="37"/>
      <c r="D374" s="28"/>
      <c r="E374" s="35"/>
      <c r="F374" s="38"/>
      <c r="G374" s="38"/>
      <c r="H374" s="40"/>
      <c r="I374" s="41" t="str">
        <f>IF($E374="","",IF(COUNTIF($K$10:$K374,$K374)&gt;1,"DUPLICATE","No"))</f>
        <v/>
      </c>
      <c r="J374" s="41" t="str">
        <f t="shared" si="20"/>
        <v/>
      </c>
      <c r="K374" s="42" t="str">
        <f t="shared" si="21"/>
        <v/>
      </c>
      <c r="L374" s="43" t="str">
        <f t="shared" si="22"/>
        <v/>
      </c>
      <c r="M374" s="44" t="str">
        <f t="shared" si="23"/>
        <v/>
      </c>
    </row>
    <row r="375" spans="2:13" ht="12.95" customHeight="1" x14ac:dyDescent="0.25">
      <c r="B375" s="39"/>
      <c r="C375" s="37"/>
      <c r="D375" s="28"/>
      <c r="E375" s="35"/>
      <c r="F375" s="38"/>
      <c r="G375" s="38"/>
      <c r="H375" s="40"/>
      <c r="I375" s="45" t="str">
        <f>IF($E375="","",IF(COUNTIF($K$10:$K375,$K375)&gt;1,"DUPLICATE","No"))</f>
        <v/>
      </c>
      <c r="J375" s="45" t="str">
        <f t="shared" si="20"/>
        <v/>
      </c>
      <c r="K375" s="46" t="str">
        <f t="shared" si="21"/>
        <v/>
      </c>
      <c r="L375" s="47" t="str">
        <f t="shared" si="22"/>
        <v/>
      </c>
      <c r="M375" s="48" t="str">
        <f t="shared" si="23"/>
        <v/>
      </c>
    </row>
    <row r="376" spans="2:13" ht="12.95" customHeight="1" x14ac:dyDescent="0.25">
      <c r="B376" s="39"/>
      <c r="C376" s="37"/>
      <c r="D376" s="28"/>
      <c r="E376" s="35"/>
      <c r="F376" s="38"/>
      <c r="G376" s="38"/>
      <c r="H376" s="40"/>
      <c r="I376" s="41" t="str">
        <f>IF($E376="","",IF(COUNTIF($K$10:$K376,$K376)&gt;1,"DUPLICATE","No"))</f>
        <v/>
      </c>
      <c r="J376" s="41" t="str">
        <f t="shared" si="20"/>
        <v/>
      </c>
      <c r="K376" s="42" t="str">
        <f t="shared" si="21"/>
        <v/>
      </c>
      <c r="L376" s="43" t="str">
        <f t="shared" si="22"/>
        <v/>
      </c>
      <c r="M376" s="44" t="str">
        <f t="shared" si="23"/>
        <v/>
      </c>
    </row>
    <row r="377" spans="2:13" ht="12.95" customHeight="1" x14ac:dyDescent="0.25">
      <c r="B377" s="39"/>
      <c r="C377" s="37"/>
      <c r="D377" s="28"/>
      <c r="E377" s="35"/>
      <c r="F377" s="38"/>
      <c r="G377" s="38"/>
      <c r="H377" s="40"/>
      <c r="I377" s="45" t="str">
        <f>IF($E377="","",IF(COUNTIF($K$10:$K377,$K377)&gt;1,"DUPLICATE","No"))</f>
        <v/>
      </c>
      <c r="J377" s="45" t="str">
        <f t="shared" si="20"/>
        <v/>
      </c>
      <c r="K377" s="46" t="str">
        <f t="shared" si="21"/>
        <v/>
      </c>
      <c r="L377" s="47" t="str">
        <f t="shared" si="22"/>
        <v/>
      </c>
      <c r="M377" s="48" t="str">
        <f t="shared" si="23"/>
        <v/>
      </c>
    </row>
    <row r="378" spans="2:13" ht="12.95" customHeight="1" x14ac:dyDescent="0.25">
      <c r="B378" s="39"/>
      <c r="C378" s="37"/>
      <c r="D378" s="28"/>
      <c r="E378" s="35"/>
      <c r="F378" s="38"/>
      <c r="G378" s="38"/>
      <c r="H378" s="40"/>
      <c r="I378" s="41" t="str">
        <f>IF($E378="","",IF(COUNTIF($K$10:$K378,$K378)&gt;1,"DUPLICATE","No"))</f>
        <v/>
      </c>
      <c r="J378" s="41" t="str">
        <f t="shared" si="20"/>
        <v/>
      </c>
      <c r="K378" s="42" t="str">
        <f t="shared" si="21"/>
        <v/>
      </c>
      <c r="L378" s="43" t="str">
        <f t="shared" si="22"/>
        <v/>
      </c>
      <c r="M378" s="44" t="str">
        <f t="shared" si="23"/>
        <v/>
      </c>
    </row>
    <row r="379" spans="2:13" ht="12.95" customHeight="1" x14ac:dyDescent="0.25">
      <c r="B379" s="39"/>
      <c r="C379" s="37"/>
      <c r="D379" s="28"/>
      <c r="E379" s="35"/>
      <c r="F379" s="38"/>
      <c r="G379" s="38"/>
      <c r="H379" s="40"/>
      <c r="I379" s="45" t="str">
        <f>IF($E379="","",IF(COUNTIF($K$10:$K379,$K379)&gt;1,"DUPLICATE","No"))</f>
        <v/>
      </c>
      <c r="J379" s="45" t="str">
        <f t="shared" si="20"/>
        <v/>
      </c>
      <c r="K379" s="46" t="str">
        <f t="shared" si="21"/>
        <v/>
      </c>
      <c r="L379" s="47" t="str">
        <f t="shared" si="22"/>
        <v/>
      </c>
      <c r="M379" s="48" t="str">
        <f t="shared" si="23"/>
        <v/>
      </c>
    </row>
    <row r="380" spans="2:13" ht="12.95" customHeight="1" x14ac:dyDescent="0.25">
      <c r="B380" s="39"/>
      <c r="C380" s="37"/>
      <c r="D380" s="28"/>
      <c r="E380" s="35"/>
      <c r="F380" s="38"/>
      <c r="G380" s="38"/>
      <c r="H380" s="40"/>
      <c r="I380" s="41" t="str">
        <f>IF($E380="","",IF(COUNTIF($K$10:$K380,$K380)&gt;1,"DUPLICATE","No"))</f>
        <v/>
      </c>
      <c r="J380" s="41" t="str">
        <f t="shared" si="20"/>
        <v/>
      </c>
      <c r="K380" s="42" t="str">
        <f t="shared" si="21"/>
        <v/>
      </c>
      <c r="L380" s="43" t="str">
        <f t="shared" si="22"/>
        <v/>
      </c>
      <c r="M380" s="44" t="str">
        <f t="shared" si="23"/>
        <v/>
      </c>
    </row>
    <row r="381" spans="2:13" ht="12.95" customHeight="1" x14ac:dyDescent="0.25">
      <c r="B381" s="39"/>
      <c r="C381" s="37"/>
      <c r="D381" s="28"/>
      <c r="E381" s="35"/>
      <c r="F381" s="38"/>
      <c r="G381" s="38"/>
      <c r="H381" s="40"/>
      <c r="I381" s="45" t="str">
        <f>IF($E381="","",IF(COUNTIF($K$10:$K381,$K381)&gt;1,"DUPLICATE","No"))</f>
        <v/>
      </c>
      <c r="J381" s="45" t="str">
        <f t="shared" si="20"/>
        <v/>
      </c>
      <c r="K381" s="46" t="str">
        <f t="shared" si="21"/>
        <v/>
      </c>
      <c r="L381" s="47" t="str">
        <f t="shared" si="22"/>
        <v/>
      </c>
      <c r="M381" s="48" t="str">
        <f t="shared" si="23"/>
        <v/>
      </c>
    </row>
    <row r="382" spans="2:13" ht="12.95" customHeight="1" x14ac:dyDescent="0.25">
      <c r="B382" s="39"/>
      <c r="C382" s="37"/>
      <c r="D382" s="28"/>
      <c r="E382" s="35"/>
      <c r="F382" s="38"/>
      <c r="G382" s="38"/>
      <c r="H382" s="40"/>
      <c r="I382" s="41" t="str">
        <f>IF($E382="","",IF(COUNTIF($K$10:$K382,$K382)&gt;1,"DUPLICATE","No"))</f>
        <v/>
      </c>
      <c r="J382" s="41" t="str">
        <f t="shared" si="20"/>
        <v/>
      </c>
      <c r="K382" s="42" t="str">
        <f t="shared" si="21"/>
        <v/>
      </c>
      <c r="L382" s="43" t="str">
        <f t="shared" si="22"/>
        <v/>
      </c>
      <c r="M382" s="44" t="str">
        <f t="shared" si="23"/>
        <v/>
      </c>
    </row>
    <row r="383" spans="2:13" ht="12.95" customHeight="1" x14ac:dyDescent="0.25">
      <c r="B383" s="39"/>
      <c r="C383" s="37"/>
      <c r="D383" s="28"/>
      <c r="E383" s="35"/>
      <c r="F383" s="38"/>
      <c r="G383" s="38"/>
      <c r="H383" s="40"/>
      <c r="I383" s="45" t="str">
        <f>IF($E383="","",IF(COUNTIF($K$10:$K383,$K383)&gt;1,"DUPLICATE","No"))</f>
        <v/>
      </c>
      <c r="J383" s="45" t="str">
        <f t="shared" si="20"/>
        <v/>
      </c>
      <c r="K383" s="46" t="str">
        <f t="shared" si="21"/>
        <v/>
      </c>
      <c r="L383" s="47" t="str">
        <f t="shared" si="22"/>
        <v/>
      </c>
      <c r="M383" s="48" t="str">
        <f t="shared" si="23"/>
        <v/>
      </c>
    </row>
    <row r="384" spans="2:13" ht="12.95" customHeight="1" x14ac:dyDescent="0.25">
      <c r="B384" s="39"/>
      <c r="C384" s="37"/>
      <c r="D384" s="28"/>
      <c r="E384" s="35"/>
      <c r="F384" s="38"/>
      <c r="G384" s="38"/>
      <c r="H384" s="40"/>
      <c r="I384" s="41" t="str">
        <f>IF($E384="","",IF(COUNTIF($K$10:$K384,$K384)&gt;1,"DUPLICATE","No"))</f>
        <v/>
      </c>
      <c r="J384" s="41" t="str">
        <f t="shared" si="20"/>
        <v/>
      </c>
      <c r="K384" s="42" t="str">
        <f t="shared" si="21"/>
        <v/>
      </c>
      <c r="L384" s="43" t="str">
        <f t="shared" si="22"/>
        <v/>
      </c>
      <c r="M384" s="44" t="str">
        <f t="shared" si="23"/>
        <v/>
      </c>
    </row>
    <row r="385" spans="2:13" ht="12.95" customHeight="1" x14ac:dyDescent="0.25">
      <c r="B385" s="39"/>
      <c r="C385" s="37"/>
      <c r="D385" s="28"/>
      <c r="E385" s="35"/>
      <c r="F385" s="38"/>
      <c r="G385" s="38"/>
      <c r="H385" s="40"/>
      <c r="I385" s="45" t="str">
        <f>IF($E385="","",IF(COUNTIF($K$10:$K385,$K385)&gt;1,"DUPLICATE","No"))</f>
        <v/>
      </c>
      <c r="J385" s="45" t="str">
        <f t="shared" si="20"/>
        <v/>
      </c>
      <c r="K385" s="46" t="str">
        <f t="shared" si="21"/>
        <v/>
      </c>
      <c r="L385" s="47" t="str">
        <f t="shared" si="22"/>
        <v/>
      </c>
      <c r="M385" s="48" t="str">
        <f t="shared" si="23"/>
        <v/>
      </c>
    </row>
    <row r="386" spans="2:13" ht="12.95" customHeight="1" x14ac:dyDescent="0.25">
      <c r="B386" s="39"/>
      <c r="C386" s="37"/>
      <c r="D386" s="28"/>
      <c r="E386" s="35"/>
      <c r="F386" s="38"/>
      <c r="G386" s="38"/>
      <c r="H386" s="40"/>
      <c r="I386" s="41" t="str">
        <f>IF($E386="","",IF(COUNTIF($K$10:$K386,$K386)&gt;1,"DUPLICATE","No"))</f>
        <v/>
      </c>
      <c r="J386" s="41" t="str">
        <f t="shared" si="20"/>
        <v/>
      </c>
      <c r="K386" s="42" t="str">
        <f t="shared" si="21"/>
        <v/>
      </c>
      <c r="L386" s="43" t="str">
        <f t="shared" si="22"/>
        <v/>
      </c>
      <c r="M386" s="44" t="str">
        <f t="shared" si="23"/>
        <v/>
      </c>
    </row>
    <row r="387" spans="2:13" ht="12.95" customHeight="1" x14ac:dyDescent="0.25">
      <c r="B387" s="39"/>
      <c r="C387" s="37"/>
      <c r="D387" s="28"/>
      <c r="E387" s="35"/>
      <c r="F387" s="38"/>
      <c r="G387" s="38"/>
      <c r="H387" s="40"/>
      <c r="I387" s="45" t="str">
        <f>IF($E387="","",IF(COUNTIF($K$10:$K387,$K387)&gt;1,"DUPLICATE","No"))</f>
        <v/>
      </c>
      <c r="J387" s="45" t="str">
        <f t="shared" si="20"/>
        <v/>
      </c>
      <c r="K387" s="46" t="str">
        <f t="shared" si="21"/>
        <v/>
      </c>
      <c r="L387" s="47" t="str">
        <f t="shared" si="22"/>
        <v/>
      </c>
      <c r="M387" s="48" t="str">
        <f t="shared" si="23"/>
        <v/>
      </c>
    </row>
    <row r="388" spans="2:13" ht="12.95" customHeight="1" x14ac:dyDescent="0.25">
      <c r="B388" s="39"/>
      <c r="C388" s="37"/>
      <c r="D388" s="28"/>
      <c r="E388" s="35"/>
      <c r="F388" s="38"/>
      <c r="G388" s="38"/>
      <c r="H388" s="40"/>
      <c r="I388" s="41" t="str">
        <f>IF($E388="","",IF(COUNTIF($K$10:$K388,$K388)&gt;1,"DUPLICATE","No"))</f>
        <v/>
      </c>
      <c r="J388" s="41" t="str">
        <f t="shared" si="20"/>
        <v/>
      </c>
      <c r="K388" s="42" t="str">
        <f t="shared" si="21"/>
        <v/>
      </c>
      <c r="L388" s="43" t="str">
        <f t="shared" si="22"/>
        <v/>
      </c>
      <c r="M388" s="44" t="str">
        <f t="shared" si="23"/>
        <v/>
      </c>
    </row>
    <row r="389" spans="2:13" ht="12.95" customHeight="1" x14ac:dyDescent="0.25">
      <c r="B389" s="39"/>
      <c r="C389" s="37"/>
      <c r="D389" s="28"/>
      <c r="E389" s="35"/>
      <c r="F389" s="38"/>
      <c r="G389" s="38"/>
      <c r="H389" s="40"/>
      <c r="I389" s="45" t="str">
        <f>IF($E389="","",IF(COUNTIF($K$10:$K389,$K389)&gt;1,"DUPLICATE","No"))</f>
        <v/>
      </c>
      <c r="J389" s="45" t="str">
        <f t="shared" si="20"/>
        <v/>
      </c>
      <c r="K389" s="46" t="str">
        <f t="shared" si="21"/>
        <v/>
      </c>
      <c r="L389" s="47" t="str">
        <f t="shared" si="22"/>
        <v/>
      </c>
      <c r="M389" s="48" t="str">
        <f t="shared" si="23"/>
        <v/>
      </c>
    </row>
    <row r="390" spans="2:13" ht="12.95" customHeight="1" x14ac:dyDescent="0.25">
      <c r="B390" s="39"/>
      <c r="C390" s="37"/>
      <c r="D390" s="28"/>
      <c r="E390" s="35"/>
      <c r="F390" s="38"/>
      <c r="G390" s="38"/>
      <c r="H390" s="40"/>
      <c r="I390" s="41" t="str">
        <f>IF($E390="","",IF(COUNTIF($K$10:$K390,$K390)&gt;1,"DUPLICATE","No"))</f>
        <v/>
      </c>
      <c r="J390" s="41" t="str">
        <f t="shared" si="20"/>
        <v/>
      </c>
      <c r="K390" s="42" t="str">
        <f t="shared" si="21"/>
        <v/>
      </c>
      <c r="L390" s="43" t="str">
        <f t="shared" si="22"/>
        <v/>
      </c>
      <c r="M390" s="44" t="str">
        <f t="shared" si="23"/>
        <v/>
      </c>
    </row>
    <row r="391" spans="2:13" ht="12.95" customHeight="1" x14ac:dyDescent="0.25">
      <c r="B391" s="39"/>
      <c r="C391" s="37"/>
      <c r="D391" s="28"/>
      <c r="E391" s="35"/>
      <c r="F391" s="38"/>
      <c r="G391" s="38"/>
      <c r="H391" s="40"/>
      <c r="I391" s="45" t="str">
        <f>IF($E391="","",IF(COUNTIF($K$10:$K391,$K391)&gt;1,"DUPLICATE","No"))</f>
        <v/>
      </c>
      <c r="J391" s="45" t="str">
        <f t="shared" si="20"/>
        <v/>
      </c>
      <c r="K391" s="46" t="str">
        <f t="shared" si="21"/>
        <v/>
      </c>
      <c r="L391" s="47" t="str">
        <f t="shared" si="22"/>
        <v/>
      </c>
      <c r="M391" s="48" t="str">
        <f t="shared" si="23"/>
        <v/>
      </c>
    </row>
    <row r="392" spans="2:13" ht="12.95" customHeight="1" x14ac:dyDescent="0.25">
      <c r="B392" s="39"/>
      <c r="C392" s="37"/>
      <c r="D392" s="28"/>
      <c r="E392" s="35"/>
      <c r="F392" s="38"/>
      <c r="G392" s="38"/>
      <c r="H392" s="40"/>
      <c r="I392" s="41" t="str">
        <f>IF($E392="","",IF(COUNTIF($K$10:$K392,$K392)&gt;1,"DUPLICATE","No"))</f>
        <v/>
      </c>
      <c r="J392" s="41" t="str">
        <f t="shared" si="20"/>
        <v/>
      </c>
      <c r="K392" s="42" t="str">
        <f t="shared" si="21"/>
        <v/>
      </c>
      <c r="L392" s="43" t="str">
        <f t="shared" si="22"/>
        <v/>
      </c>
      <c r="M392" s="44" t="str">
        <f t="shared" si="23"/>
        <v/>
      </c>
    </row>
    <row r="393" spans="2:13" ht="12.95" customHeight="1" x14ac:dyDescent="0.25">
      <c r="B393" s="39"/>
      <c r="C393" s="37"/>
      <c r="D393" s="28"/>
      <c r="E393" s="35"/>
      <c r="F393" s="38"/>
      <c r="G393" s="38"/>
      <c r="H393" s="40"/>
      <c r="I393" s="45" t="str">
        <f>IF($E393="","",IF(COUNTIF($K$10:$K393,$K393)&gt;1,"DUPLICATE","No"))</f>
        <v/>
      </c>
      <c r="J393" s="45" t="str">
        <f t="shared" si="20"/>
        <v/>
      </c>
      <c r="K393" s="46" t="str">
        <f t="shared" si="21"/>
        <v/>
      </c>
      <c r="L393" s="47" t="str">
        <f t="shared" si="22"/>
        <v/>
      </c>
      <c r="M393" s="48" t="str">
        <f t="shared" si="23"/>
        <v/>
      </c>
    </row>
    <row r="394" spans="2:13" ht="12.95" customHeight="1" x14ac:dyDescent="0.25">
      <c r="B394" s="39"/>
      <c r="C394" s="37"/>
      <c r="D394" s="28"/>
      <c r="E394" s="35"/>
      <c r="F394" s="38"/>
      <c r="G394" s="38"/>
      <c r="H394" s="40"/>
      <c r="I394" s="41" t="str">
        <f>IF($E394="","",IF(COUNTIF($K$10:$K394,$K394)&gt;1,"DUPLICATE","No"))</f>
        <v/>
      </c>
      <c r="J394" s="41" t="str">
        <f t="shared" ref="J394:J457" si="24">IF($E394="","",IF(SUMPRODUCT(--(Txn_Acct=$D394),--(Txn_Date=$C394),--(Txn_Desc=$E394),--(ROUND(Txn_In+0,2)=ROUND(N($F394),2)),--(ROUND(Txn_Out+0,2)=ROUND(N($G394),2)))&gt;0,"ALREADY IN LEDGER","No"))</f>
        <v/>
      </c>
      <c r="K394" s="42" t="str">
        <f t="shared" ref="K394:K457" si="25">IF($E394="","",UPPER(TRIM($D394))&amp;"|"&amp;TEXT($C394,"yyyy-mm-dd")&amp;"|"&amp;UPPER(TRIM($E394))&amp;"|"&amp;TEXT(ROUND(N($F394),2),"0.00")&amp;"|"&amp;TEXT(ROUND(N($G394),2),"0.00"))</f>
        <v/>
      </c>
      <c r="L394" s="43" t="str">
        <f t="shared" ref="L394:L457" si="26">IF($E394="","",TRIM(IF($D394="","Missing account. ",IF(COUNTIF(Acct_Name,$D394)=0,"Unknown account. ",""))&amp;IF($C394="","Missing date. ",IF(NOT(ISNUMBER($C394)),"Invalid date. ",IF(AND(N($F$7)&gt;0,N($H$7)&gt;0,OR($C394&lt;$F$7,$C394&gt;$H$7)),"Outside statement period. ","")))&amp;IF(AND(N($F394)&gt;0,N($G394)&gt;0),"Both Money In and Money Out populated. ","")&amp;IF(AND(N($F394)=0,N($G394)=0),"No amount. ","")&amp;IF(OR(N($F394)&lt;0,N($G394)&lt;0),"Negative amount. ","")&amp;IF($B394="","Batch ID missing on this row - fill it down from B7. ","")&amp;IF(OR($B$7="",$D$7=""),"Batch header incomplete - fill in B7 and D7. ","")&amp;IF(OR(N($F$7)=0,N($H$7)=0),"Statement period missing on the header - the date check is OFF. ","")&amp;IF(AND(N($J$7)=0,N($L$7)=0),"Statement totals missing on the header - the tie-out is OFF. ","")))</f>
        <v/>
      </c>
      <c r="M394" s="44" t="str">
        <f t="shared" ref="M394:M457" si="27">IF($E394="","",IF(AND($L394="",$I394="No",$J394="ALREADY IN LEDGER"),"POSTED",IF(AND($L394="",$I394="No",$J394="No"),"Yes","NO")))</f>
        <v/>
      </c>
    </row>
    <row r="395" spans="2:13" ht="12.95" customHeight="1" x14ac:dyDescent="0.25">
      <c r="B395" s="39"/>
      <c r="C395" s="37"/>
      <c r="D395" s="28"/>
      <c r="E395" s="35"/>
      <c r="F395" s="38"/>
      <c r="G395" s="38"/>
      <c r="H395" s="40"/>
      <c r="I395" s="45" t="str">
        <f>IF($E395="","",IF(COUNTIF($K$10:$K395,$K395)&gt;1,"DUPLICATE","No"))</f>
        <v/>
      </c>
      <c r="J395" s="45" t="str">
        <f t="shared" si="24"/>
        <v/>
      </c>
      <c r="K395" s="46" t="str">
        <f t="shared" si="25"/>
        <v/>
      </c>
      <c r="L395" s="47" t="str">
        <f t="shared" si="26"/>
        <v/>
      </c>
      <c r="M395" s="48" t="str">
        <f t="shared" si="27"/>
        <v/>
      </c>
    </row>
    <row r="396" spans="2:13" ht="12.95" customHeight="1" x14ac:dyDescent="0.25">
      <c r="B396" s="39"/>
      <c r="C396" s="37"/>
      <c r="D396" s="28"/>
      <c r="E396" s="35"/>
      <c r="F396" s="38"/>
      <c r="G396" s="38"/>
      <c r="H396" s="40"/>
      <c r="I396" s="41" t="str">
        <f>IF($E396="","",IF(COUNTIF($K$10:$K396,$K396)&gt;1,"DUPLICATE","No"))</f>
        <v/>
      </c>
      <c r="J396" s="41" t="str">
        <f t="shared" si="24"/>
        <v/>
      </c>
      <c r="K396" s="42" t="str">
        <f t="shared" si="25"/>
        <v/>
      </c>
      <c r="L396" s="43" t="str">
        <f t="shared" si="26"/>
        <v/>
      </c>
      <c r="M396" s="44" t="str">
        <f t="shared" si="27"/>
        <v/>
      </c>
    </row>
    <row r="397" spans="2:13" ht="12.95" customHeight="1" x14ac:dyDescent="0.25">
      <c r="B397" s="39"/>
      <c r="C397" s="37"/>
      <c r="D397" s="28"/>
      <c r="E397" s="35"/>
      <c r="F397" s="38"/>
      <c r="G397" s="38"/>
      <c r="H397" s="40"/>
      <c r="I397" s="45" t="str">
        <f>IF($E397="","",IF(COUNTIF($K$10:$K397,$K397)&gt;1,"DUPLICATE","No"))</f>
        <v/>
      </c>
      <c r="J397" s="45" t="str">
        <f t="shared" si="24"/>
        <v/>
      </c>
      <c r="K397" s="46" t="str">
        <f t="shared" si="25"/>
        <v/>
      </c>
      <c r="L397" s="47" t="str">
        <f t="shared" si="26"/>
        <v/>
      </c>
      <c r="M397" s="48" t="str">
        <f t="shared" si="27"/>
        <v/>
      </c>
    </row>
    <row r="398" spans="2:13" ht="12.95" customHeight="1" x14ac:dyDescent="0.25">
      <c r="B398" s="39"/>
      <c r="C398" s="37"/>
      <c r="D398" s="28"/>
      <c r="E398" s="35"/>
      <c r="F398" s="38"/>
      <c r="G398" s="38"/>
      <c r="H398" s="40"/>
      <c r="I398" s="41" t="str">
        <f>IF($E398="","",IF(COUNTIF($K$10:$K398,$K398)&gt;1,"DUPLICATE","No"))</f>
        <v/>
      </c>
      <c r="J398" s="41" t="str">
        <f t="shared" si="24"/>
        <v/>
      </c>
      <c r="K398" s="42" t="str">
        <f t="shared" si="25"/>
        <v/>
      </c>
      <c r="L398" s="43" t="str">
        <f t="shared" si="26"/>
        <v/>
      </c>
      <c r="M398" s="44" t="str">
        <f t="shared" si="27"/>
        <v/>
      </c>
    </row>
    <row r="399" spans="2:13" ht="12.95" customHeight="1" x14ac:dyDescent="0.25">
      <c r="B399" s="39"/>
      <c r="C399" s="37"/>
      <c r="D399" s="28"/>
      <c r="E399" s="35"/>
      <c r="F399" s="38"/>
      <c r="G399" s="38"/>
      <c r="H399" s="40"/>
      <c r="I399" s="45" t="str">
        <f>IF($E399="","",IF(COUNTIF($K$10:$K399,$K399)&gt;1,"DUPLICATE","No"))</f>
        <v/>
      </c>
      <c r="J399" s="45" t="str">
        <f t="shared" si="24"/>
        <v/>
      </c>
      <c r="K399" s="46" t="str">
        <f t="shared" si="25"/>
        <v/>
      </c>
      <c r="L399" s="47" t="str">
        <f t="shared" si="26"/>
        <v/>
      </c>
      <c r="M399" s="48" t="str">
        <f t="shared" si="27"/>
        <v/>
      </c>
    </row>
    <row r="400" spans="2:13" ht="12.95" customHeight="1" x14ac:dyDescent="0.25">
      <c r="B400" s="39"/>
      <c r="C400" s="37"/>
      <c r="D400" s="28"/>
      <c r="E400" s="35"/>
      <c r="F400" s="38"/>
      <c r="G400" s="38"/>
      <c r="H400" s="40"/>
      <c r="I400" s="41" t="str">
        <f>IF($E400="","",IF(COUNTIF($K$10:$K400,$K400)&gt;1,"DUPLICATE","No"))</f>
        <v/>
      </c>
      <c r="J400" s="41" t="str">
        <f t="shared" si="24"/>
        <v/>
      </c>
      <c r="K400" s="42" t="str">
        <f t="shared" si="25"/>
        <v/>
      </c>
      <c r="L400" s="43" t="str">
        <f t="shared" si="26"/>
        <v/>
      </c>
      <c r="M400" s="44" t="str">
        <f t="shared" si="27"/>
        <v/>
      </c>
    </row>
    <row r="401" spans="2:13" ht="12.95" customHeight="1" x14ac:dyDescent="0.25">
      <c r="B401" s="39"/>
      <c r="C401" s="37"/>
      <c r="D401" s="28"/>
      <c r="E401" s="35"/>
      <c r="F401" s="38"/>
      <c r="G401" s="38"/>
      <c r="H401" s="40"/>
      <c r="I401" s="45" t="str">
        <f>IF($E401="","",IF(COUNTIF($K$10:$K401,$K401)&gt;1,"DUPLICATE","No"))</f>
        <v/>
      </c>
      <c r="J401" s="45" t="str">
        <f t="shared" si="24"/>
        <v/>
      </c>
      <c r="K401" s="46" t="str">
        <f t="shared" si="25"/>
        <v/>
      </c>
      <c r="L401" s="47" t="str">
        <f t="shared" si="26"/>
        <v/>
      </c>
      <c r="M401" s="48" t="str">
        <f t="shared" si="27"/>
        <v/>
      </c>
    </row>
    <row r="402" spans="2:13" ht="12.95" customHeight="1" x14ac:dyDescent="0.25">
      <c r="B402" s="39"/>
      <c r="C402" s="37"/>
      <c r="D402" s="28"/>
      <c r="E402" s="35"/>
      <c r="F402" s="38"/>
      <c r="G402" s="38"/>
      <c r="H402" s="40"/>
      <c r="I402" s="41" t="str">
        <f>IF($E402="","",IF(COUNTIF($K$10:$K402,$K402)&gt;1,"DUPLICATE","No"))</f>
        <v/>
      </c>
      <c r="J402" s="41" t="str">
        <f t="shared" si="24"/>
        <v/>
      </c>
      <c r="K402" s="42" t="str">
        <f t="shared" si="25"/>
        <v/>
      </c>
      <c r="L402" s="43" t="str">
        <f t="shared" si="26"/>
        <v/>
      </c>
      <c r="M402" s="44" t="str">
        <f t="shared" si="27"/>
        <v/>
      </c>
    </row>
    <row r="403" spans="2:13" ht="12.95" customHeight="1" x14ac:dyDescent="0.25">
      <c r="B403" s="39"/>
      <c r="C403" s="37"/>
      <c r="D403" s="28"/>
      <c r="E403" s="35"/>
      <c r="F403" s="38"/>
      <c r="G403" s="38"/>
      <c r="H403" s="40"/>
      <c r="I403" s="45" t="str">
        <f>IF($E403="","",IF(COUNTIF($K$10:$K403,$K403)&gt;1,"DUPLICATE","No"))</f>
        <v/>
      </c>
      <c r="J403" s="45" t="str">
        <f t="shared" si="24"/>
        <v/>
      </c>
      <c r="K403" s="46" t="str">
        <f t="shared" si="25"/>
        <v/>
      </c>
      <c r="L403" s="47" t="str">
        <f t="shared" si="26"/>
        <v/>
      </c>
      <c r="M403" s="48" t="str">
        <f t="shared" si="27"/>
        <v/>
      </c>
    </row>
    <row r="404" spans="2:13" ht="12.95" customHeight="1" x14ac:dyDescent="0.25">
      <c r="B404" s="39"/>
      <c r="C404" s="37"/>
      <c r="D404" s="28"/>
      <c r="E404" s="35"/>
      <c r="F404" s="38"/>
      <c r="G404" s="38"/>
      <c r="H404" s="40"/>
      <c r="I404" s="41" t="str">
        <f>IF($E404="","",IF(COUNTIF($K$10:$K404,$K404)&gt;1,"DUPLICATE","No"))</f>
        <v/>
      </c>
      <c r="J404" s="41" t="str">
        <f t="shared" si="24"/>
        <v/>
      </c>
      <c r="K404" s="42" t="str">
        <f t="shared" si="25"/>
        <v/>
      </c>
      <c r="L404" s="43" t="str">
        <f t="shared" si="26"/>
        <v/>
      </c>
      <c r="M404" s="44" t="str">
        <f t="shared" si="27"/>
        <v/>
      </c>
    </row>
    <row r="405" spans="2:13" ht="12.95" customHeight="1" x14ac:dyDescent="0.25">
      <c r="B405" s="39"/>
      <c r="C405" s="37"/>
      <c r="D405" s="28"/>
      <c r="E405" s="35"/>
      <c r="F405" s="38"/>
      <c r="G405" s="38"/>
      <c r="H405" s="40"/>
      <c r="I405" s="45" t="str">
        <f>IF($E405="","",IF(COUNTIF($K$10:$K405,$K405)&gt;1,"DUPLICATE","No"))</f>
        <v/>
      </c>
      <c r="J405" s="45" t="str">
        <f t="shared" si="24"/>
        <v/>
      </c>
      <c r="K405" s="46" t="str">
        <f t="shared" si="25"/>
        <v/>
      </c>
      <c r="L405" s="47" t="str">
        <f t="shared" si="26"/>
        <v/>
      </c>
      <c r="M405" s="48" t="str">
        <f t="shared" si="27"/>
        <v/>
      </c>
    </row>
    <row r="406" spans="2:13" ht="12.95" customHeight="1" x14ac:dyDescent="0.25">
      <c r="B406" s="39"/>
      <c r="C406" s="37"/>
      <c r="D406" s="28"/>
      <c r="E406" s="35"/>
      <c r="F406" s="38"/>
      <c r="G406" s="38"/>
      <c r="H406" s="40"/>
      <c r="I406" s="41" t="str">
        <f>IF($E406="","",IF(COUNTIF($K$10:$K406,$K406)&gt;1,"DUPLICATE","No"))</f>
        <v/>
      </c>
      <c r="J406" s="41" t="str">
        <f t="shared" si="24"/>
        <v/>
      </c>
      <c r="K406" s="42" t="str">
        <f t="shared" si="25"/>
        <v/>
      </c>
      <c r="L406" s="43" t="str">
        <f t="shared" si="26"/>
        <v/>
      </c>
      <c r="M406" s="44" t="str">
        <f t="shared" si="27"/>
        <v/>
      </c>
    </row>
    <row r="407" spans="2:13" ht="12.95" customHeight="1" x14ac:dyDescent="0.25">
      <c r="B407" s="39"/>
      <c r="C407" s="37"/>
      <c r="D407" s="28"/>
      <c r="E407" s="35"/>
      <c r="F407" s="38"/>
      <c r="G407" s="38"/>
      <c r="H407" s="40"/>
      <c r="I407" s="45" t="str">
        <f>IF($E407="","",IF(COUNTIF($K$10:$K407,$K407)&gt;1,"DUPLICATE","No"))</f>
        <v/>
      </c>
      <c r="J407" s="45" t="str">
        <f t="shared" si="24"/>
        <v/>
      </c>
      <c r="K407" s="46" t="str">
        <f t="shared" si="25"/>
        <v/>
      </c>
      <c r="L407" s="47" t="str">
        <f t="shared" si="26"/>
        <v/>
      </c>
      <c r="M407" s="48" t="str">
        <f t="shared" si="27"/>
        <v/>
      </c>
    </row>
    <row r="408" spans="2:13" ht="12.95" customHeight="1" x14ac:dyDescent="0.25">
      <c r="B408" s="39"/>
      <c r="C408" s="37"/>
      <c r="D408" s="28"/>
      <c r="E408" s="35"/>
      <c r="F408" s="38"/>
      <c r="G408" s="38"/>
      <c r="H408" s="40"/>
      <c r="I408" s="41" t="str">
        <f>IF($E408="","",IF(COUNTIF($K$10:$K408,$K408)&gt;1,"DUPLICATE","No"))</f>
        <v/>
      </c>
      <c r="J408" s="41" t="str">
        <f t="shared" si="24"/>
        <v/>
      </c>
      <c r="K408" s="42" t="str">
        <f t="shared" si="25"/>
        <v/>
      </c>
      <c r="L408" s="43" t="str">
        <f t="shared" si="26"/>
        <v/>
      </c>
      <c r="M408" s="44" t="str">
        <f t="shared" si="27"/>
        <v/>
      </c>
    </row>
    <row r="409" spans="2:13" ht="12.95" customHeight="1" x14ac:dyDescent="0.25">
      <c r="B409" s="39"/>
      <c r="C409" s="37"/>
      <c r="D409" s="28"/>
      <c r="E409" s="35"/>
      <c r="F409" s="38"/>
      <c r="G409" s="38"/>
      <c r="H409" s="40"/>
      <c r="I409" s="45" t="str">
        <f>IF($E409="","",IF(COUNTIF($K$10:$K409,$K409)&gt;1,"DUPLICATE","No"))</f>
        <v/>
      </c>
      <c r="J409" s="45" t="str">
        <f t="shared" si="24"/>
        <v/>
      </c>
      <c r="K409" s="46" t="str">
        <f t="shared" si="25"/>
        <v/>
      </c>
      <c r="L409" s="47" t="str">
        <f t="shared" si="26"/>
        <v/>
      </c>
      <c r="M409" s="48" t="str">
        <f t="shared" si="27"/>
        <v/>
      </c>
    </row>
    <row r="410" spans="2:13" ht="12.95" customHeight="1" x14ac:dyDescent="0.25">
      <c r="B410" s="39"/>
      <c r="C410" s="37"/>
      <c r="D410" s="28"/>
      <c r="E410" s="35"/>
      <c r="F410" s="38"/>
      <c r="G410" s="38"/>
      <c r="H410" s="40"/>
      <c r="I410" s="41" t="str">
        <f>IF($E410="","",IF(COUNTIF($K$10:$K410,$K410)&gt;1,"DUPLICATE","No"))</f>
        <v/>
      </c>
      <c r="J410" s="41" t="str">
        <f t="shared" si="24"/>
        <v/>
      </c>
      <c r="K410" s="42" t="str">
        <f t="shared" si="25"/>
        <v/>
      </c>
      <c r="L410" s="43" t="str">
        <f t="shared" si="26"/>
        <v/>
      </c>
      <c r="M410" s="44" t="str">
        <f t="shared" si="27"/>
        <v/>
      </c>
    </row>
    <row r="411" spans="2:13" ht="12.95" customHeight="1" x14ac:dyDescent="0.25">
      <c r="B411" s="39"/>
      <c r="C411" s="37"/>
      <c r="D411" s="28"/>
      <c r="E411" s="35"/>
      <c r="F411" s="38"/>
      <c r="G411" s="38"/>
      <c r="H411" s="40"/>
      <c r="I411" s="45" t="str">
        <f>IF($E411="","",IF(COUNTIF($K$10:$K411,$K411)&gt;1,"DUPLICATE","No"))</f>
        <v/>
      </c>
      <c r="J411" s="45" t="str">
        <f t="shared" si="24"/>
        <v/>
      </c>
      <c r="K411" s="46" t="str">
        <f t="shared" si="25"/>
        <v/>
      </c>
      <c r="L411" s="47" t="str">
        <f t="shared" si="26"/>
        <v/>
      </c>
      <c r="M411" s="48" t="str">
        <f t="shared" si="27"/>
        <v/>
      </c>
    </row>
    <row r="412" spans="2:13" ht="12.95" customHeight="1" x14ac:dyDescent="0.25">
      <c r="B412" s="39"/>
      <c r="C412" s="37"/>
      <c r="D412" s="28"/>
      <c r="E412" s="35"/>
      <c r="F412" s="38"/>
      <c r="G412" s="38"/>
      <c r="H412" s="40"/>
      <c r="I412" s="41" t="str">
        <f>IF($E412="","",IF(COUNTIF($K$10:$K412,$K412)&gt;1,"DUPLICATE","No"))</f>
        <v/>
      </c>
      <c r="J412" s="41" t="str">
        <f t="shared" si="24"/>
        <v/>
      </c>
      <c r="K412" s="42" t="str">
        <f t="shared" si="25"/>
        <v/>
      </c>
      <c r="L412" s="43" t="str">
        <f t="shared" si="26"/>
        <v/>
      </c>
      <c r="M412" s="44" t="str">
        <f t="shared" si="27"/>
        <v/>
      </c>
    </row>
    <row r="413" spans="2:13" ht="12.95" customHeight="1" x14ac:dyDescent="0.25">
      <c r="B413" s="39"/>
      <c r="C413" s="37"/>
      <c r="D413" s="28"/>
      <c r="E413" s="35"/>
      <c r="F413" s="38"/>
      <c r="G413" s="38"/>
      <c r="H413" s="40"/>
      <c r="I413" s="45" t="str">
        <f>IF($E413="","",IF(COUNTIF($K$10:$K413,$K413)&gt;1,"DUPLICATE","No"))</f>
        <v/>
      </c>
      <c r="J413" s="45" t="str">
        <f t="shared" si="24"/>
        <v/>
      </c>
      <c r="K413" s="46" t="str">
        <f t="shared" si="25"/>
        <v/>
      </c>
      <c r="L413" s="47" t="str">
        <f t="shared" si="26"/>
        <v/>
      </c>
      <c r="M413" s="48" t="str">
        <f t="shared" si="27"/>
        <v/>
      </c>
    </row>
    <row r="414" spans="2:13" ht="12.95" customHeight="1" x14ac:dyDescent="0.25">
      <c r="B414" s="39"/>
      <c r="C414" s="37"/>
      <c r="D414" s="28"/>
      <c r="E414" s="35"/>
      <c r="F414" s="38"/>
      <c r="G414" s="38"/>
      <c r="H414" s="40"/>
      <c r="I414" s="41" t="str">
        <f>IF($E414="","",IF(COUNTIF($K$10:$K414,$K414)&gt;1,"DUPLICATE","No"))</f>
        <v/>
      </c>
      <c r="J414" s="41" t="str">
        <f t="shared" si="24"/>
        <v/>
      </c>
      <c r="K414" s="42" t="str">
        <f t="shared" si="25"/>
        <v/>
      </c>
      <c r="L414" s="43" t="str">
        <f t="shared" si="26"/>
        <v/>
      </c>
      <c r="M414" s="44" t="str">
        <f t="shared" si="27"/>
        <v/>
      </c>
    </row>
    <row r="415" spans="2:13" ht="12.95" customHeight="1" x14ac:dyDescent="0.25">
      <c r="B415" s="39"/>
      <c r="C415" s="37"/>
      <c r="D415" s="28"/>
      <c r="E415" s="35"/>
      <c r="F415" s="38"/>
      <c r="G415" s="38"/>
      <c r="H415" s="40"/>
      <c r="I415" s="45" t="str">
        <f>IF($E415="","",IF(COUNTIF($K$10:$K415,$K415)&gt;1,"DUPLICATE","No"))</f>
        <v/>
      </c>
      <c r="J415" s="45" t="str">
        <f t="shared" si="24"/>
        <v/>
      </c>
      <c r="K415" s="46" t="str">
        <f t="shared" si="25"/>
        <v/>
      </c>
      <c r="L415" s="47" t="str">
        <f t="shared" si="26"/>
        <v/>
      </c>
      <c r="M415" s="48" t="str">
        <f t="shared" si="27"/>
        <v/>
      </c>
    </row>
    <row r="416" spans="2:13" ht="12.95" customHeight="1" x14ac:dyDescent="0.25">
      <c r="B416" s="39"/>
      <c r="C416" s="37"/>
      <c r="D416" s="28"/>
      <c r="E416" s="35"/>
      <c r="F416" s="38"/>
      <c r="G416" s="38"/>
      <c r="H416" s="40"/>
      <c r="I416" s="41" t="str">
        <f>IF($E416="","",IF(COUNTIF($K$10:$K416,$K416)&gt;1,"DUPLICATE","No"))</f>
        <v/>
      </c>
      <c r="J416" s="41" t="str">
        <f t="shared" si="24"/>
        <v/>
      </c>
      <c r="K416" s="42" t="str">
        <f t="shared" si="25"/>
        <v/>
      </c>
      <c r="L416" s="43" t="str">
        <f t="shared" si="26"/>
        <v/>
      </c>
      <c r="M416" s="44" t="str">
        <f t="shared" si="27"/>
        <v/>
      </c>
    </row>
    <row r="417" spans="2:13" ht="12.95" customHeight="1" x14ac:dyDescent="0.25">
      <c r="B417" s="39"/>
      <c r="C417" s="37"/>
      <c r="D417" s="28"/>
      <c r="E417" s="35"/>
      <c r="F417" s="38"/>
      <c r="G417" s="38"/>
      <c r="H417" s="40"/>
      <c r="I417" s="45" t="str">
        <f>IF($E417="","",IF(COUNTIF($K$10:$K417,$K417)&gt;1,"DUPLICATE","No"))</f>
        <v/>
      </c>
      <c r="J417" s="45" t="str">
        <f t="shared" si="24"/>
        <v/>
      </c>
      <c r="K417" s="46" t="str">
        <f t="shared" si="25"/>
        <v/>
      </c>
      <c r="L417" s="47" t="str">
        <f t="shared" si="26"/>
        <v/>
      </c>
      <c r="M417" s="48" t="str">
        <f t="shared" si="27"/>
        <v/>
      </c>
    </row>
    <row r="418" spans="2:13" ht="12.95" customHeight="1" x14ac:dyDescent="0.25">
      <c r="B418" s="39"/>
      <c r="C418" s="37"/>
      <c r="D418" s="28"/>
      <c r="E418" s="35"/>
      <c r="F418" s="38"/>
      <c r="G418" s="38"/>
      <c r="H418" s="40"/>
      <c r="I418" s="41" t="str">
        <f>IF($E418="","",IF(COUNTIF($K$10:$K418,$K418)&gt;1,"DUPLICATE","No"))</f>
        <v/>
      </c>
      <c r="J418" s="41" t="str">
        <f t="shared" si="24"/>
        <v/>
      </c>
      <c r="K418" s="42" t="str">
        <f t="shared" si="25"/>
        <v/>
      </c>
      <c r="L418" s="43" t="str">
        <f t="shared" si="26"/>
        <v/>
      </c>
      <c r="M418" s="44" t="str">
        <f t="shared" si="27"/>
        <v/>
      </c>
    </row>
    <row r="419" spans="2:13" ht="12.95" customHeight="1" x14ac:dyDescent="0.25">
      <c r="B419" s="39"/>
      <c r="C419" s="37"/>
      <c r="D419" s="28"/>
      <c r="E419" s="35"/>
      <c r="F419" s="38"/>
      <c r="G419" s="38"/>
      <c r="H419" s="40"/>
      <c r="I419" s="45" t="str">
        <f>IF($E419="","",IF(COUNTIF($K$10:$K419,$K419)&gt;1,"DUPLICATE","No"))</f>
        <v/>
      </c>
      <c r="J419" s="45" t="str">
        <f t="shared" si="24"/>
        <v/>
      </c>
      <c r="K419" s="46" t="str">
        <f t="shared" si="25"/>
        <v/>
      </c>
      <c r="L419" s="47" t="str">
        <f t="shared" si="26"/>
        <v/>
      </c>
      <c r="M419" s="48" t="str">
        <f t="shared" si="27"/>
        <v/>
      </c>
    </row>
    <row r="420" spans="2:13" ht="12.95" customHeight="1" x14ac:dyDescent="0.25">
      <c r="B420" s="39"/>
      <c r="C420" s="37"/>
      <c r="D420" s="28"/>
      <c r="E420" s="35"/>
      <c r="F420" s="38"/>
      <c r="G420" s="38"/>
      <c r="H420" s="40"/>
      <c r="I420" s="41" t="str">
        <f>IF($E420="","",IF(COUNTIF($K$10:$K420,$K420)&gt;1,"DUPLICATE","No"))</f>
        <v/>
      </c>
      <c r="J420" s="41" t="str">
        <f t="shared" si="24"/>
        <v/>
      </c>
      <c r="K420" s="42" t="str">
        <f t="shared" si="25"/>
        <v/>
      </c>
      <c r="L420" s="43" t="str">
        <f t="shared" si="26"/>
        <v/>
      </c>
      <c r="M420" s="44" t="str">
        <f t="shared" si="27"/>
        <v/>
      </c>
    </row>
    <row r="421" spans="2:13" ht="12.95" customHeight="1" x14ac:dyDescent="0.25">
      <c r="B421" s="39"/>
      <c r="C421" s="37"/>
      <c r="D421" s="28"/>
      <c r="E421" s="35"/>
      <c r="F421" s="38"/>
      <c r="G421" s="38"/>
      <c r="H421" s="40"/>
      <c r="I421" s="45" t="str">
        <f>IF($E421="","",IF(COUNTIF($K$10:$K421,$K421)&gt;1,"DUPLICATE","No"))</f>
        <v/>
      </c>
      <c r="J421" s="45" t="str">
        <f t="shared" si="24"/>
        <v/>
      </c>
      <c r="K421" s="46" t="str">
        <f t="shared" si="25"/>
        <v/>
      </c>
      <c r="L421" s="47" t="str">
        <f t="shared" si="26"/>
        <v/>
      </c>
      <c r="M421" s="48" t="str">
        <f t="shared" si="27"/>
        <v/>
      </c>
    </row>
    <row r="422" spans="2:13" ht="12.95" customHeight="1" x14ac:dyDescent="0.25">
      <c r="B422" s="39"/>
      <c r="C422" s="37"/>
      <c r="D422" s="28"/>
      <c r="E422" s="35"/>
      <c r="F422" s="38"/>
      <c r="G422" s="38"/>
      <c r="H422" s="40"/>
      <c r="I422" s="41" t="str">
        <f>IF($E422="","",IF(COUNTIF($K$10:$K422,$K422)&gt;1,"DUPLICATE","No"))</f>
        <v/>
      </c>
      <c r="J422" s="41" t="str">
        <f t="shared" si="24"/>
        <v/>
      </c>
      <c r="K422" s="42" t="str">
        <f t="shared" si="25"/>
        <v/>
      </c>
      <c r="L422" s="43" t="str">
        <f t="shared" si="26"/>
        <v/>
      </c>
      <c r="M422" s="44" t="str">
        <f t="shared" si="27"/>
        <v/>
      </c>
    </row>
    <row r="423" spans="2:13" ht="12.95" customHeight="1" x14ac:dyDescent="0.25">
      <c r="B423" s="39"/>
      <c r="C423" s="37"/>
      <c r="D423" s="28"/>
      <c r="E423" s="35"/>
      <c r="F423" s="38"/>
      <c r="G423" s="38"/>
      <c r="H423" s="40"/>
      <c r="I423" s="45" t="str">
        <f>IF($E423="","",IF(COUNTIF($K$10:$K423,$K423)&gt;1,"DUPLICATE","No"))</f>
        <v/>
      </c>
      <c r="J423" s="45" t="str">
        <f t="shared" si="24"/>
        <v/>
      </c>
      <c r="K423" s="46" t="str">
        <f t="shared" si="25"/>
        <v/>
      </c>
      <c r="L423" s="47" t="str">
        <f t="shared" si="26"/>
        <v/>
      </c>
      <c r="M423" s="48" t="str">
        <f t="shared" si="27"/>
        <v/>
      </c>
    </row>
    <row r="424" spans="2:13" ht="12.95" customHeight="1" x14ac:dyDescent="0.25">
      <c r="B424" s="39"/>
      <c r="C424" s="37"/>
      <c r="D424" s="28"/>
      <c r="E424" s="35"/>
      <c r="F424" s="38"/>
      <c r="G424" s="38"/>
      <c r="H424" s="40"/>
      <c r="I424" s="41" t="str">
        <f>IF($E424="","",IF(COUNTIF($K$10:$K424,$K424)&gt;1,"DUPLICATE","No"))</f>
        <v/>
      </c>
      <c r="J424" s="41" t="str">
        <f t="shared" si="24"/>
        <v/>
      </c>
      <c r="K424" s="42" t="str">
        <f t="shared" si="25"/>
        <v/>
      </c>
      <c r="L424" s="43" t="str">
        <f t="shared" si="26"/>
        <v/>
      </c>
      <c r="M424" s="44" t="str">
        <f t="shared" si="27"/>
        <v/>
      </c>
    </row>
    <row r="425" spans="2:13" ht="12.95" customHeight="1" x14ac:dyDescent="0.25">
      <c r="B425" s="39"/>
      <c r="C425" s="37"/>
      <c r="D425" s="28"/>
      <c r="E425" s="35"/>
      <c r="F425" s="38"/>
      <c r="G425" s="38"/>
      <c r="H425" s="40"/>
      <c r="I425" s="45" t="str">
        <f>IF($E425="","",IF(COUNTIF($K$10:$K425,$K425)&gt;1,"DUPLICATE","No"))</f>
        <v/>
      </c>
      <c r="J425" s="45" t="str">
        <f t="shared" si="24"/>
        <v/>
      </c>
      <c r="K425" s="46" t="str">
        <f t="shared" si="25"/>
        <v/>
      </c>
      <c r="L425" s="47" t="str">
        <f t="shared" si="26"/>
        <v/>
      </c>
      <c r="M425" s="48" t="str">
        <f t="shared" si="27"/>
        <v/>
      </c>
    </row>
    <row r="426" spans="2:13" ht="12.95" customHeight="1" x14ac:dyDescent="0.25">
      <c r="B426" s="39"/>
      <c r="C426" s="37"/>
      <c r="D426" s="28"/>
      <c r="E426" s="35"/>
      <c r="F426" s="38"/>
      <c r="G426" s="38"/>
      <c r="H426" s="40"/>
      <c r="I426" s="41" t="str">
        <f>IF($E426="","",IF(COUNTIF($K$10:$K426,$K426)&gt;1,"DUPLICATE","No"))</f>
        <v/>
      </c>
      <c r="J426" s="41" t="str">
        <f t="shared" si="24"/>
        <v/>
      </c>
      <c r="K426" s="42" t="str">
        <f t="shared" si="25"/>
        <v/>
      </c>
      <c r="L426" s="43" t="str">
        <f t="shared" si="26"/>
        <v/>
      </c>
      <c r="M426" s="44" t="str">
        <f t="shared" si="27"/>
        <v/>
      </c>
    </row>
    <row r="427" spans="2:13" ht="12.95" customHeight="1" x14ac:dyDescent="0.25">
      <c r="B427" s="39"/>
      <c r="C427" s="37"/>
      <c r="D427" s="28"/>
      <c r="E427" s="35"/>
      <c r="F427" s="38"/>
      <c r="G427" s="38"/>
      <c r="H427" s="40"/>
      <c r="I427" s="45" t="str">
        <f>IF($E427="","",IF(COUNTIF($K$10:$K427,$K427)&gt;1,"DUPLICATE","No"))</f>
        <v/>
      </c>
      <c r="J427" s="45" t="str">
        <f t="shared" si="24"/>
        <v/>
      </c>
      <c r="K427" s="46" t="str">
        <f t="shared" si="25"/>
        <v/>
      </c>
      <c r="L427" s="47" t="str">
        <f t="shared" si="26"/>
        <v/>
      </c>
      <c r="M427" s="48" t="str">
        <f t="shared" si="27"/>
        <v/>
      </c>
    </row>
    <row r="428" spans="2:13" ht="12.95" customHeight="1" x14ac:dyDescent="0.25">
      <c r="B428" s="39"/>
      <c r="C428" s="37"/>
      <c r="D428" s="28"/>
      <c r="E428" s="35"/>
      <c r="F428" s="38"/>
      <c r="G428" s="38"/>
      <c r="H428" s="40"/>
      <c r="I428" s="41" t="str">
        <f>IF($E428="","",IF(COUNTIF($K$10:$K428,$K428)&gt;1,"DUPLICATE","No"))</f>
        <v/>
      </c>
      <c r="J428" s="41" t="str">
        <f t="shared" si="24"/>
        <v/>
      </c>
      <c r="K428" s="42" t="str">
        <f t="shared" si="25"/>
        <v/>
      </c>
      <c r="L428" s="43" t="str">
        <f t="shared" si="26"/>
        <v/>
      </c>
      <c r="M428" s="44" t="str">
        <f t="shared" si="27"/>
        <v/>
      </c>
    </row>
    <row r="429" spans="2:13" ht="12.95" customHeight="1" x14ac:dyDescent="0.25">
      <c r="B429" s="39"/>
      <c r="C429" s="37"/>
      <c r="D429" s="28"/>
      <c r="E429" s="35"/>
      <c r="F429" s="38"/>
      <c r="G429" s="38"/>
      <c r="H429" s="40"/>
      <c r="I429" s="45" t="str">
        <f>IF($E429="","",IF(COUNTIF($K$10:$K429,$K429)&gt;1,"DUPLICATE","No"))</f>
        <v/>
      </c>
      <c r="J429" s="45" t="str">
        <f t="shared" si="24"/>
        <v/>
      </c>
      <c r="K429" s="46" t="str">
        <f t="shared" si="25"/>
        <v/>
      </c>
      <c r="L429" s="47" t="str">
        <f t="shared" si="26"/>
        <v/>
      </c>
      <c r="M429" s="48" t="str">
        <f t="shared" si="27"/>
        <v/>
      </c>
    </row>
    <row r="430" spans="2:13" ht="12.95" customHeight="1" x14ac:dyDescent="0.25">
      <c r="B430" s="39"/>
      <c r="C430" s="37"/>
      <c r="D430" s="28"/>
      <c r="E430" s="35"/>
      <c r="F430" s="38"/>
      <c r="G430" s="38"/>
      <c r="H430" s="40"/>
      <c r="I430" s="41" t="str">
        <f>IF($E430="","",IF(COUNTIF($K$10:$K430,$K430)&gt;1,"DUPLICATE","No"))</f>
        <v/>
      </c>
      <c r="J430" s="41" t="str">
        <f t="shared" si="24"/>
        <v/>
      </c>
      <c r="K430" s="42" t="str">
        <f t="shared" si="25"/>
        <v/>
      </c>
      <c r="L430" s="43" t="str">
        <f t="shared" si="26"/>
        <v/>
      </c>
      <c r="M430" s="44" t="str">
        <f t="shared" si="27"/>
        <v/>
      </c>
    </row>
    <row r="431" spans="2:13" ht="12.95" customHeight="1" x14ac:dyDescent="0.25">
      <c r="B431" s="39"/>
      <c r="C431" s="37"/>
      <c r="D431" s="28"/>
      <c r="E431" s="35"/>
      <c r="F431" s="38"/>
      <c r="G431" s="38"/>
      <c r="H431" s="40"/>
      <c r="I431" s="45" t="str">
        <f>IF($E431="","",IF(COUNTIF($K$10:$K431,$K431)&gt;1,"DUPLICATE","No"))</f>
        <v/>
      </c>
      <c r="J431" s="45" t="str">
        <f t="shared" si="24"/>
        <v/>
      </c>
      <c r="K431" s="46" t="str">
        <f t="shared" si="25"/>
        <v/>
      </c>
      <c r="L431" s="47" t="str">
        <f t="shared" si="26"/>
        <v/>
      </c>
      <c r="M431" s="48" t="str">
        <f t="shared" si="27"/>
        <v/>
      </c>
    </row>
    <row r="432" spans="2:13" ht="12.95" customHeight="1" x14ac:dyDescent="0.25">
      <c r="B432" s="39"/>
      <c r="C432" s="37"/>
      <c r="D432" s="28"/>
      <c r="E432" s="35"/>
      <c r="F432" s="38"/>
      <c r="G432" s="38"/>
      <c r="H432" s="40"/>
      <c r="I432" s="41" t="str">
        <f>IF($E432="","",IF(COUNTIF($K$10:$K432,$K432)&gt;1,"DUPLICATE","No"))</f>
        <v/>
      </c>
      <c r="J432" s="41" t="str">
        <f t="shared" si="24"/>
        <v/>
      </c>
      <c r="K432" s="42" t="str">
        <f t="shared" si="25"/>
        <v/>
      </c>
      <c r="L432" s="43" t="str">
        <f t="shared" si="26"/>
        <v/>
      </c>
      <c r="M432" s="44" t="str">
        <f t="shared" si="27"/>
        <v/>
      </c>
    </row>
    <row r="433" spans="2:13" ht="12.95" customHeight="1" x14ac:dyDescent="0.25">
      <c r="B433" s="39"/>
      <c r="C433" s="37"/>
      <c r="D433" s="28"/>
      <c r="E433" s="35"/>
      <c r="F433" s="38"/>
      <c r="G433" s="38"/>
      <c r="H433" s="40"/>
      <c r="I433" s="45" t="str">
        <f>IF($E433="","",IF(COUNTIF($K$10:$K433,$K433)&gt;1,"DUPLICATE","No"))</f>
        <v/>
      </c>
      <c r="J433" s="45" t="str">
        <f t="shared" si="24"/>
        <v/>
      </c>
      <c r="K433" s="46" t="str">
        <f t="shared" si="25"/>
        <v/>
      </c>
      <c r="L433" s="47" t="str">
        <f t="shared" si="26"/>
        <v/>
      </c>
      <c r="M433" s="48" t="str">
        <f t="shared" si="27"/>
        <v/>
      </c>
    </row>
    <row r="434" spans="2:13" ht="12.95" customHeight="1" x14ac:dyDescent="0.25">
      <c r="B434" s="39"/>
      <c r="C434" s="37"/>
      <c r="D434" s="28"/>
      <c r="E434" s="35"/>
      <c r="F434" s="38"/>
      <c r="G434" s="38"/>
      <c r="H434" s="40"/>
      <c r="I434" s="41" t="str">
        <f>IF($E434="","",IF(COUNTIF($K$10:$K434,$K434)&gt;1,"DUPLICATE","No"))</f>
        <v/>
      </c>
      <c r="J434" s="41" t="str">
        <f t="shared" si="24"/>
        <v/>
      </c>
      <c r="K434" s="42" t="str">
        <f t="shared" si="25"/>
        <v/>
      </c>
      <c r="L434" s="43" t="str">
        <f t="shared" si="26"/>
        <v/>
      </c>
      <c r="M434" s="44" t="str">
        <f t="shared" si="27"/>
        <v/>
      </c>
    </row>
    <row r="435" spans="2:13" ht="12.95" customHeight="1" x14ac:dyDescent="0.25">
      <c r="B435" s="39"/>
      <c r="C435" s="37"/>
      <c r="D435" s="28"/>
      <c r="E435" s="35"/>
      <c r="F435" s="38"/>
      <c r="G435" s="38"/>
      <c r="H435" s="40"/>
      <c r="I435" s="45" t="str">
        <f>IF($E435="","",IF(COUNTIF($K$10:$K435,$K435)&gt;1,"DUPLICATE","No"))</f>
        <v/>
      </c>
      <c r="J435" s="45" t="str">
        <f t="shared" si="24"/>
        <v/>
      </c>
      <c r="K435" s="46" t="str">
        <f t="shared" si="25"/>
        <v/>
      </c>
      <c r="L435" s="47" t="str">
        <f t="shared" si="26"/>
        <v/>
      </c>
      <c r="M435" s="48" t="str">
        <f t="shared" si="27"/>
        <v/>
      </c>
    </row>
    <row r="436" spans="2:13" ht="12.95" customHeight="1" x14ac:dyDescent="0.25">
      <c r="B436" s="39"/>
      <c r="C436" s="37"/>
      <c r="D436" s="28"/>
      <c r="E436" s="35"/>
      <c r="F436" s="38"/>
      <c r="G436" s="38"/>
      <c r="H436" s="40"/>
      <c r="I436" s="41" t="str">
        <f>IF($E436="","",IF(COUNTIF($K$10:$K436,$K436)&gt;1,"DUPLICATE","No"))</f>
        <v/>
      </c>
      <c r="J436" s="41" t="str">
        <f t="shared" si="24"/>
        <v/>
      </c>
      <c r="K436" s="42" t="str">
        <f t="shared" si="25"/>
        <v/>
      </c>
      <c r="L436" s="43" t="str">
        <f t="shared" si="26"/>
        <v/>
      </c>
      <c r="M436" s="44" t="str">
        <f t="shared" si="27"/>
        <v/>
      </c>
    </row>
    <row r="437" spans="2:13" ht="12.95" customHeight="1" x14ac:dyDescent="0.25">
      <c r="B437" s="39"/>
      <c r="C437" s="37"/>
      <c r="D437" s="28"/>
      <c r="E437" s="35"/>
      <c r="F437" s="38"/>
      <c r="G437" s="38"/>
      <c r="H437" s="40"/>
      <c r="I437" s="45" t="str">
        <f>IF($E437="","",IF(COUNTIF($K$10:$K437,$K437)&gt;1,"DUPLICATE","No"))</f>
        <v/>
      </c>
      <c r="J437" s="45" t="str">
        <f t="shared" si="24"/>
        <v/>
      </c>
      <c r="K437" s="46" t="str">
        <f t="shared" si="25"/>
        <v/>
      </c>
      <c r="L437" s="47" t="str">
        <f t="shared" si="26"/>
        <v/>
      </c>
      <c r="M437" s="48" t="str">
        <f t="shared" si="27"/>
        <v/>
      </c>
    </row>
    <row r="438" spans="2:13" ht="12.95" customHeight="1" x14ac:dyDescent="0.25">
      <c r="B438" s="39"/>
      <c r="C438" s="37"/>
      <c r="D438" s="28"/>
      <c r="E438" s="35"/>
      <c r="F438" s="38"/>
      <c r="G438" s="38"/>
      <c r="H438" s="40"/>
      <c r="I438" s="41" t="str">
        <f>IF($E438="","",IF(COUNTIF($K$10:$K438,$K438)&gt;1,"DUPLICATE","No"))</f>
        <v/>
      </c>
      <c r="J438" s="41" t="str">
        <f t="shared" si="24"/>
        <v/>
      </c>
      <c r="K438" s="42" t="str">
        <f t="shared" si="25"/>
        <v/>
      </c>
      <c r="L438" s="43" t="str">
        <f t="shared" si="26"/>
        <v/>
      </c>
      <c r="M438" s="44" t="str">
        <f t="shared" si="27"/>
        <v/>
      </c>
    </row>
    <row r="439" spans="2:13" ht="12.95" customHeight="1" x14ac:dyDescent="0.25">
      <c r="B439" s="39"/>
      <c r="C439" s="37"/>
      <c r="D439" s="28"/>
      <c r="E439" s="35"/>
      <c r="F439" s="38"/>
      <c r="G439" s="38"/>
      <c r="H439" s="40"/>
      <c r="I439" s="45" t="str">
        <f>IF($E439="","",IF(COUNTIF($K$10:$K439,$K439)&gt;1,"DUPLICATE","No"))</f>
        <v/>
      </c>
      <c r="J439" s="45" t="str">
        <f t="shared" si="24"/>
        <v/>
      </c>
      <c r="K439" s="46" t="str">
        <f t="shared" si="25"/>
        <v/>
      </c>
      <c r="L439" s="47" t="str">
        <f t="shared" si="26"/>
        <v/>
      </c>
      <c r="M439" s="48" t="str">
        <f t="shared" si="27"/>
        <v/>
      </c>
    </row>
    <row r="440" spans="2:13" ht="12.95" customHeight="1" x14ac:dyDescent="0.25">
      <c r="B440" s="39"/>
      <c r="C440" s="37"/>
      <c r="D440" s="28"/>
      <c r="E440" s="35"/>
      <c r="F440" s="38"/>
      <c r="G440" s="38"/>
      <c r="H440" s="40"/>
      <c r="I440" s="41" t="str">
        <f>IF($E440="","",IF(COUNTIF($K$10:$K440,$K440)&gt;1,"DUPLICATE","No"))</f>
        <v/>
      </c>
      <c r="J440" s="41" t="str">
        <f t="shared" si="24"/>
        <v/>
      </c>
      <c r="K440" s="42" t="str">
        <f t="shared" si="25"/>
        <v/>
      </c>
      <c r="L440" s="43" t="str">
        <f t="shared" si="26"/>
        <v/>
      </c>
      <c r="M440" s="44" t="str">
        <f t="shared" si="27"/>
        <v/>
      </c>
    </row>
    <row r="441" spans="2:13" ht="12.95" customHeight="1" x14ac:dyDescent="0.25">
      <c r="B441" s="39"/>
      <c r="C441" s="37"/>
      <c r="D441" s="28"/>
      <c r="E441" s="35"/>
      <c r="F441" s="38"/>
      <c r="G441" s="38"/>
      <c r="H441" s="40"/>
      <c r="I441" s="45" t="str">
        <f>IF($E441="","",IF(COUNTIF($K$10:$K441,$K441)&gt;1,"DUPLICATE","No"))</f>
        <v/>
      </c>
      <c r="J441" s="45" t="str">
        <f t="shared" si="24"/>
        <v/>
      </c>
      <c r="K441" s="46" t="str">
        <f t="shared" si="25"/>
        <v/>
      </c>
      <c r="L441" s="47" t="str">
        <f t="shared" si="26"/>
        <v/>
      </c>
      <c r="M441" s="48" t="str">
        <f t="shared" si="27"/>
        <v/>
      </c>
    </row>
    <row r="442" spans="2:13" ht="12.95" customHeight="1" x14ac:dyDescent="0.25">
      <c r="B442" s="39"/>
      <c r="C442" s="37"/>
      <c r="D442" s="28"/>
      <c r="E442" s="35"/>
      <c r="F442" s="38"/>
      <c r="G442" s="38"/>
      <c r="H442" s="40"/>
      <c r="I442" s="41" t="str">
        <f>IF($E442="","",IF(COUNTIF($K$10:$K442,$K442)&gt;1,"DUPLICATE","No"))</f>
        <v/>
      </c>
      <c r="J442" s="41" t="str">
        <f t="shared" si="24"/>
        <v/>
      </c>
      <c r="K442" s="42" t="str">
        <f t="shared" si="25"/>
        <v/>
      </c>
      <c r="L442" s="43" t="str">
        <f t="shared" si="26"/>
        <v/>
      </c>
      <c r="M442" s="44" t="str">
        <f t="shared" si="27"/>
        <v/>
      </c>
    </row>
    <row r="443" spans="2:13" ht="12.95" customHeight="1" x14ac:dyDescent="0.25">
      <c r="B443" s="39"/>
      <c r="C443" s="37"/>
      <c r="D443" s="28"/>
      <c r="E443" s="35"/>
      <c r="F443" s="38"/>
      <c r="G443" s="38"/>
      <c r="H443" s="40"/>
      <c r="I443" s="45" t="str">
        <f>IF($E443="","",IF(COUNTIF($K$10:$K443,$K443)&gt;1,"DUPLICATE","No"))</f>
        <v/>
      </c>
      <c r="J443" s="45" t="str">
        <f t="shared" si="24"/>
        <v/>
      </c>
      <c r="K443" s="46" t="str">
        <f t="shared" si="25"/>
        <v/>
      </c>
      <c r="L443" s="47" t="str">
        <f t="shared" si="26"/>
        <v/>
      </c>
      <c r="M443" s="48" t="str">
        <f t="shared" si="27"/>
        <v/>
      </c>
    </row>
    <row r="444" spans="2:13" ht="12.95" customHeight="1" x14ac:dyDescent="0.25">
      <c r="B444" s="39"/>
      <c r="C444" s="37"/>
      <c r="D444" s="28"/>
      <c r="E444" s="35"/>
      <c r="F444" s="38"/>
      <c r="G444" s="38"/>
      <c r="H444" s="40"/>
      <c r="I444" s="41" t="str">
        <f>IF($E444="","",IF(COUNTIF($K$10:$K444,$K444)&gt;1,"DUPLICATE","No"))</f>
        <v/>
      </c>
      <c r="J444" s="41" t="str">
        <f t="shared" si="24"/>
        <v/>
      </c>
      <c r="K444" s="42" t="str">
        <f t="shared" si="25"/>
        <v/>
      </c>
      <c r="L444" s="43" t="str">
        <f t="shared" si="26"/>
        <v/>
      </c>
      <c r="M444" s="44" t="str">
        <f t="shared" si="27"/>
        <v/>
      </c>
    </row>
    <row r="445" spans="2:13" ht="12.95" customHeight="1" x14ac:dyDescent="0.25">
      <c r="B445" s="39"/>
      <c r="C445" s="37"/>
      <c r="D445" s="28"/>
      <c r="E445" s="35"/>
      <c r="F445" s="38"/>
      <c r="G445" s="38"/>
      <c r="H445" s="40"/>
      <c r="I445" s="45" t="str">
        <f>IF($E445="","",IF(COUNTIF($K$10:$K445,$K445)&gt;1,"DUPLICATE","No"))</f>
        <v/>
      </c>
      <c r="J445" s="45" t="str">
        <f t="shared" si="24"/>
        <v/>
      </c>
      <c r="K445" s="46" t="str">
        <f t="shared" si="25"/>
        <v/>
      </c>
      <c r="L445" s="47" t="str">
        <f t="shared" si="26"/>
        <v/>
      </c>
      <c r="M445" s="48" t="str">
        <f t="shared" si="27"/>
        <v/>
      </c>
    </row>
    <row r="446" spans="2:13" ht="12.95" customHeight="1" x14ac:dyDescent="0.25">
      <c r="B446" s="39"/>
      <c r="C446" s="37"/>
      <c r="D446" s="28"/>
      <c r="E446" s="35"/>
      <c r="F446" s="38"/>
      <c r="G446" s="38"/>
      <c r="H446" s="40"/>
      <c r="I446" s="41" t="str">
        <f>IF($E446="","",IF(COUNTIF($K$10:$K446,$K446)&gt;1,"DUPLICATE","No"))</f>
        <v/>
      </c>
      <c r="J446" s="41" t="str">
        <f t="shared" si="24"/>
        <v/>
      </c>
      <c r="K446" s="42" t="str">
        <f t="shared" si="25"/>
        <v/>
      </c>
      <c r="L446" s="43" t="str">
        <f t="shared" si="26"/>
        <v/>
      </c>
      <c r="M446" s="44" t="str">
        <f t="shared" si="27"/>
        <v/>
      </c>
    </row>
    <row r="447" spans="2:13" ht="12.95" customHeight="1" x14ac:dyDescent="0.25">
      <c r="B447" s="39"/>
      <c r="C447" s="37"/>
      <c r="D447" s="28"/>
      <c r="E447" s="35"/>
      <c r="F447" s="38"/>
      <c r="G447" s="38"/>
      <c r="H447" s="40"/>
      <c r="I447" s="45" t="str">
        <f>IF($E447="","",IF(COUNTIF($K$10:$K447,$K447)&gt;1,"DUPLICATE","No"))</f>
        <v/>
      </c>
      <c r="J447" s="45" t="str">
        <f t="shared" si="24"/>
        <v/>
      </c>
      <c r="K447" s="46" t="str">
        <f t="shared" si="25"/>
        <v/>
      </c>
      <c r="L447" s="47" t="str">
        <f t="shared" si="26"/>
        <v/>
      </c>
      <c r="M447" s="48" t="str">
        <f t="shared" si="27"/>
        <v/>
      </c>
    </row>
    <row r="448" spans="2:13" ht="12.95" customHeight="1" x14ac:dyDescent="0.25">
      <c r="B448" s="39"/>
      <c r="C448" s="37"/>
      <c r="D448" s="28"/>
      <c r="E448" s="35"/>
      <c r="F448" s="38"/>
      <c r="G448" s="38"/>
      <c r="H448" s="40"/>
      <c r="I448" s="41" t="str">
        <f>IF($E448="","",IF(COUNTIF($K$10:$K448,$K448)&gt;1,"DUPLICATE","No"))</f>
        <v/>
      </c>
      <c r="J448" s="41" t="str">
        <f t="shared" si="24"/>
        <v/>
      </c>
      <c r="K448" s="42" t="str">
        <f t="shared" si="25"/>
        <v/>
      </c>
      <c r="L448" s="43" t="str">
        <f t="shared" si="26"/>
        <v/>
      </c>
      <c r="M448" s="44" t="str">
        <f t="shared" si="27"/>
        <v/>
      </c>
    </row>
    <row r="449" spans="2:13" ht="12.95" customHeight="1" x14ac:dyDescent="0.25">
      <c r="B449" s="39"/>
      <c r="C449" s="37"/>
      <c r="D449" s="28"/>
      <c r="E449" s="35"/>
      <c r="F449" s="38"/>
      <c r="G449" s="38"/>
      <c r="H449" s="40"/>
      <c r="I449" s="45" t="str">
        <f>IF($E449="","",IF(COUNTIF($K$10:$K449,$K449)&gt;1,"DUPLICATE","No"))</f>
        <v/>
      </c>
      <c r="J449" s="45" t="str">
        <f t="shared" si="24"/>
        <v/>
      </c>
      <c r="K449" s="46" t="str">
        <f t="shared" si="25"/>
        <v/>
      </c>
      <c r="L449" s="47" t="str">
        <f t="shared" si="26"/>
        <v/>
      </c>
      <c r="M449" s="48" t="str">
        <f t="shared" si="27"/>
        <v/>
      </c>
    </row>
    <row r="450" spans="2:13" ht="12.95" customHeight="1" x14ac:dyDescent="0.25">
      <c r="B450" s="39"/>
      <c r="C450" s="37"/>
      <c r="D450" s="28"/>
      <c r="E450" s="35"/>
      <c r="F450" s="38"/>
      <c r="G450" s="38"/>
      <c r="H450" s="40"/>
      <c r="I450" s="41" t="str">
        <f>IF($E450="","",IF(COUNTIF($K$10:$K450,$K450)&gt;1,"DUPLICATE","No"))</f>
        <v/>
      </c>
      <c r="J450" s="41" t="str">
        <f t="shared" si="24"/>
        <v/>
      </c>
      <c r="K450" s="42" t="str">
        <f t="shared" si="25"/>
        <v/>
      </c>
      <c r="L450" s="43" t="str">
        <f t="shared" si="26"/>
        <v/>
      </c>
      <c r="M450" s="44" t="str">
        <f t="shared" si="27"/>
        <v/>
      </c>
    </row>
    <row r="451" spans="2:13" ht="12.95" customHeight="1" x14ac:dyDescent="0.25">
      <c r="B451" s="39"/>
      <c r="C451" s="37"/>
      <c r="D451" s="28"/>
      <c r="E451" s="35"/>
      <c r="F451" s="38"/>
      <c r="G451" s="38"/>
      <c r="H451" s="40"/>
      <c r="I451" s="45" t="str">
        <f>IF($E451="","",IF(COUNTIF($K$10:$K451,$K451)&gt;1,"DUPLICATE","No"))</f>
        <v/>
      </c>
      <c r="J451" s="45" t="str">
        <f t="shared" si="24"/>
        <v/>
      </c>
      <c r="K451" s="46" t="str">
        <f t="shared" si="25"/>
        <v/>
      </c>
      <c r="L451" s="47" t="str">
        <f t="shared" si="26"/>
        <v/>
      </c>
      <c r="M451" s="48" t="str">
        <f t="shared" si="27"/>
        <v/>
      </c>
    </row>
    <row r="452" spans="2:13" ht="12.95" customHeight="1" x14ac:dyDescent="0.25">
      <c r="B452" s="39"/>
      <c r="C452" s="37"/>
      <c r="D452" s="28"/>
      <c r="E452" s="35"/>
      <c r="F452" s="38"/>
      <c r="G452" s="38"/>
      <c r="H452" s="40"/>
      <c r="I452" s="41" t="str">
        <f>IF($E452="","",IF(COUNTIF($K$10:$K452,$K452)&gt;1,"DUPLICATE","No"))</f>
        <v/>
      </c>
      <c r="J452" s="41" t="str">
        <f t="shared" si="24"/>
        <v/>
      </c>
      <c r="K452" s="42" t="str">
        <f t="shared" si="25"/>
        <v/>
      </c>
      <c r="L452" s="43" t="str">
        <f t="shared" si="26"/>
        <v/>
      </c>
      <c r="M452" s="44" t="str">
        <f t="shared" si="27"/>
        <v/>
      </c>
    </row>
    <row r="453" spans="2:13" ht="12.95" customHeight="1" x14ac:dyDescent="0.25">
      <c r="B453" s="39"/>
      <c r="C453" s="37"/>
      <c r="D453" s="28"/>
      <c r="E453" s="35"/>
      <c r="F453" s="38"/>
      <c r="G453" s="38"/>
      <c r="H453" s="40"/>
      <c r="I453" s="45" t="str">
        <f>IF($E453="","",IF(COUNTIF($K$10:$K453,$K453)&gt;1,"DUPLICATE","No"))</f>
        <v/>
      </c>
      <c r="J453" s="45" t="str">
        <f t="shared" si="24"/>
        <v/>
      </c>
      <c r="K453" s="46" t="str">
        <f t="shared" si="25"/>
        <v/>
      </c>
      <c r="L453" s="47" t="str">
        <f t="shared" si="26"/>
        <v/>
      </c>
      <c r="M453" s="48" t="str">
        <f t="shared" si="27"/>
        <v/>
      </c>
    </row>
    <row r="454" spans="2:13" ht="12.95" customHeight="1" x14ac:dyDescent="0.25">
      <c r="B454" s="39"/>
      <c r="C454" s="37"/>
      <c r="D454" s="28"/>
      <c r="E454" s="35"/>
      <c r="F454" s="38"/>
      <c r="G454" s="38"/>
      <c r="H454" s="40"/>
      <c r="I454" s="41" t="str">
        <f>IF($E454="","",IF(COUNTIF($K$10:$K454,$K454)&gt;1,"DUPLICATE","No"))</f>
        <v/>
      </c>
      <c r="J454" s="41" t="str">
        <f t="shared" si="24"/>
        <v/>
      </c>
      <c r="K454" s="42" t="str">
        <f t="shared" si="25"/>
        <v/>
      </c>
      <c r="L454" s="43" t="str">
        <f t="shared" si="26"/>
        <v/>
      </c>
      <c r="M454" s="44" t="str">
        <f t="shared" si="27"/>
        <v/>
      </c>
    </row>
    <row r="455" spans="2:13" ht="12.95" customHeight="1" x14ac:dyDescent="0.25">
      <c r="B455" s="39"/>
      <c r="C455" s="37"/>
      <c r="D455" s="28"/>
      <c r="E455" s="35"/>
      <c r="F455" s="38"/>
      <c r="G455" s="38"/>
      <c r="H455" s="40"/>
      <c r="I455" s="45" t="str">
        <f>IF($E455="","",IF(COUNTIF($K$10:$K455,$K455)&gt;1,"DUPLICATE","No"))</f>
        <v/>
      </c>
      <c r="J455" s="45" t="str">
        <f t="shared" si="24"/>
        <v/>
      </c>
      <c r="K455" s="46" t="str">
        <f t="shared" si="25"/>
        <v/>
      </c>
      <c r="L455" s="47" t="str">
        <f t="shared" si="26"/>
        <v/>
      </c>
      <c r="M455" s="48" t="str">
        <f t="shared" si="27"/>
        <v/>
      </c>
    </row>
    <row r="456" spans="2:13" ht="12.95" customHeight="1" x14ac:dyDescent="0.25">
      <c r="B456" s="39"/>
      <c r="C456" s="37"/>
      <c r="D456" s="28"/>
      <c r="E456" s="35"/>
      <c r="F456" s="38"/>
      <c r="G456" s="38"/>
      <c r="H456" s="40"/>
      <c r="I456" s="41" t="str">
        <f>IF($E456="","",IF(COUNTIF($K$10:$K456,$K456)&gt;1,"DUPLICATE","No"))</f>
        <v/>
      </c>
      <c r="J456" s="41" t="str">
        <f t="shared" si="24"/>
        <v/>
      </c>
      <c r="K456" s="42" t="str">
        <f t="shared" si="25"/>
        <v/>
      </c>
      <c r="L456" s="43" t="str">
        <f t="shared" si="26"/>
        <v/>
      </c>
      <c r="M456" s="44" t="str">
        <f t="shared" si="27"/>
        <v/>
      </c>
    </row>
    <row r="457" spans="2:13" ht="12.95" customHeight="1" x14ac:dyDescent="0.25">
      <c r="B457" s="39"/>
      <c r="C457" s="37"/>
      <c r="D457" s="28"/>
      <c r="E457" s="35"/>
      <c r="F457" s="38"/>
      <c r="G457" s="38"/>
      <c r="H457" s="40"/>
      <c r="I457" s="45" t="str">
        <f>IF($E457="","",IF(COUNTIF($K$10:$K457,$K457)&gt;1,"DUPLICATE","No"))</f>
        <v/>
      </c>
      <c r="J457" s="45" t="str">
        <f t="shared" si="24"/>
        <v/>
      </c>
      <c r="K457" s="46" t="str">
        <f t="shared" si="25"/>
        <v/>
      </c>
      <c r="L457" s="47" t="str">
        <f t="shared" si="26"/>
        <v/>
      </c>
      <c r="M457" s="48" t="str">
        <f t="shared" si="27"/>
        <v/>
      </c>
    </row>
    <row r="458" spans="2:13" ht="12.95" customHeight="1" x14ac:dyDescent="0.25">
      <c r="B458" s="39"/>
      <c r="C458" s="37"/>
      <c r="D458" s="28"/>
      <c r="E458" s="35"/>
      <c r="F458" s="38"/>
      <c r="G458" s="38"/>
      <c r="H458" s="40"/>
      <c r="I458" s="41" t="str">
        <f>IF($E458="","",IF(COUNTIF($K$10:$K458,$K458)&gt;1,"DUPLICATE","No"))</f>
        <v/>
      </c>
      <c r="J458" s="41" t="str">
        <f t="shared" ref="J458:J499" si="28">IF($E458="","",IF(SUMPRODUCT(--(Txn_Acct=$D458),--(Txn_Date=$C458),--(Txn_Desc=$E458),--(ROUND(Txn_In+0,2)=ROUND(N($F458),2)),--(ROUND(Txn_Out+0,2)=ROUND(N($G458),2)))&gt;0,"ALREADY IN LEDGER","No"))</f>
        <v/>
      </c>
      <c r="K458" s="42" t="str">
        <f t="shared" ref="K458:K499" si="29">IF($E458="","",UPPER(TRIM($D458))&amp;"|"&amp;TEXT($C458,"yyyy-mm-dd")&amp;"|"&amp;UPPER(TRIM($E458))&amp;"|"&amp;TEXT(ROUND(N($F458),2),"0.00")&amp;"|"&amp;TEXT(ROUND(N($G458),2),"0.00"))</f>
        <v/>
      </c>
      <c r="L458" s="43" t="str">
        <f t="shared" ref="L458:L499" si="30">IF($E458="","",TRIM(IF($D458="","Missing account. ",IF(COUNTIF(Acct_Name,$D458)=0,"Unknown account. ",""))&amp;IF($C458="","Missing date. ",IF(NOT(ISNUMBER($C458)),"Invalid date. ",IF(AND(N($F$7)&gt;0,N($H$7)&gt;0,OR($C458&lt;$F$7,$C458&gt;$H$7)),"Outside statement period. ","")))&amp;IF(AND(N($F458)&gt;0,N($G458)&gt;0),"Both Money In and Money Out populated. ","")&amp;IF(AND(N($F458)=0,N($G458)=0),"No amount. ","")&amp;IF(OR(N($F458)&lt;0,N($G458)&lt;0),"Negative amount. ","")&amp;IF($B458="","Batch ID missing on this row - fill it down from B7. ","")&amp;IF(OR($B$7="",$D$7=""),"Batch header incomplete - fill in B7 and D7. ","")&amp;IF(OR(N($F$7)=0,N($H$7)=0),"Statement period missing on the header - the date check is OFF. ","")&amp;IF(AND(N($J$7)=0,N($L$7)=0),"Statement totals missing on the header - the tie-out is OFF. ","")))</f>
        <v/>
      </c>
      <c r="M458" s="44" t="str">
        <f t="shared" ref="M458:M499" si="31">IF($E458="","",IF(AND($L458="",$I458="No",$J458="ALREADY IN LEDGER"),"POSTED",IF(AND($L458="",$I458="No",$J458="No"),"Yes","NO")))</f>
        <v/>
      </c>
    </row>
    <row r="459" spans="2:13" ht="12.95" customHeight="1" x14ac:dyDescent="0.25">
      <c r="B459" s="39"/>
      <c r="C459" s="37"/>
      <c r="D459" s="28"/>
      <c r="E459" s="35"/>
      <c r="F459" s="38"/>
      <c r="G459" s="38"/>
      <c r="H459" s="40"/>
      <c r="I459" s="45" t="str">
        <f>IF($E459="","",IF(COUNTIF($K$10:$K459,$K459)&gt;1,"DUPLICATE","No"))</f>
        <v/>
      </c>
      <c r="J459" s="45" t="str">
        <f t="shared" si="28"/>
        <v/>
      </c>
      <c r="K459" s="46" t="str">
        <f t="shared" si="29"/>
        <v/>
      </c>
      <c r="L459" s="47" t="str">
        <f t="shared" si="30"/>
        <v/>
      </c>
      <c r="M459" s="48" t="str">
        <f t="shared" si="31"/>
        <v/>
      </c>
    </row>
    <row r="460" spans="2:13" ht="12.95" customHeight="1" x14ac:dyDescent="0.25">
      <c r="B460" s="39"/>
      <c r="C460" s="37"/>
      <c r="D460" s="28"/>
      <c r="E460" s="35"/>
      <c r="F460" s="38"/>
      <c r="G460" s="38"/>
      <c r="H460" s="40"/>
      <c r="I460" s="41" t="str">
        <f>IF($E460="","",IF(COUNTIF($K$10:$K460,$K460)&gt;1,"DUPLICATE","No"))</f>
        <v/>
      </c>
      <c r="J460" s="41" t="str">
        <f t="shared" si="28"/>
        <v/>
      </c>
      <c r="K460" s="42" t="str">
        <f t="shared" si="29"/>
        <v/>
      </c>
      <c r="L460" s="43" t="str">
        <f t="shared" si="30"/>
        <v/>
      </c>
      <c r="M460" s="44" t="str">
        <f t="shared" si="31"/>
        <v/>
      </c>
    </row>
    <row r="461" spans="2:13" ht="12.95" customHeight="1" x14ac:dyDescent="0.25">
      <c r="B461" s="39"/>
      <c r="C461" s="37"/>
      <c r="D461" s="28"/>
      <c r="E461" s="35"/>
      <c r="F461" s="38"/>
      <c r="G461" s="38"/>
      <c r="H461" s="40"/>
      <c r="I461" s="45" t="str">
        <f>IF($E461="","",IF(COUNTIF($K$10:$K461,$K461)&gt;1,"DUPLICATE","No"))</f>
        <v/>
      </c>
      <c r="J461" s="45" t="str">
        <f t="shared" si="28"/>
        <v/>
      </c>
      <c r="K461" s="46" t="str">
        <f t="shared" si="29"/>
        <v/>
      </c>
      <c r="L461" s="47" t="str">
        <f t="shared" si="30"/>
        <v/>
      </c>
      <c r="M461" s="48" t="str">
        <f t="shared" si="31"/>
        <v/>
      </c>
    </row>
    <row r="462" spans="2:13" ht="12.95" customHeight="1" x14ac:dyDescent="0.25">
      <c r="B462" s="39"/>
      <c r="C462" s="37"/>
      <c r="D462" s="28"/>
      <c r="E462" s="35"/>
      <c r="F462" s="38"/>
      <c r="G462" s="38"/>
      <c r="H462" s="40"/>
      <c r="I462" s="41" t="str">
        <f>IF($E462="","",IF(COUNTIF($K$10:$K462,$K462)&gt;1,"DUPLICATE","No"))</f>
        <v/>
      </c>
      <c r="J462" s="41" t="str">
        <f t="shared" si="28"/>
        <v/>
      </c>
      <c r="K462" s="42" t="str">
        <f t="shared" si="29"/>
        <v/>
      </c>
      <c r="L462" s="43" t="str">
        <f t="shared" si="30"/>
        <v/>
      </c>
      <c r="M462" s="44" t="str">
        <f t="shared" si="31"/>
        <v/>
      </c>
    </row>
    <row r="463" spans="2:13" ht="12.95" customHeight="1" x14ac:dyDescent="0.25">
      <c r="B463" s="39"/>
      <c r="C463" s="37"/>
      <c r="D463" s="28"/>
      <c r="E463" s="35"/>
      <c r="F463" s="38"/>
      <c r="G463" s="38"/>
      <c r="H463" s="40"/>
      <c r="I463" s="45" t="str">
        <f>IF($E463="","",IF(COUNTIF($K$10:$K463,$K463)&gt;1,"DUPLICATE","No"))</f>
        <v/>
      </c>
      <c r="J463" s="45" t="str">
        <f t="shared" si="28"/>
        <v/>
      </c>
      <c r="K463" s="46" t="str">
        <f t="shared" si="29"/>
        <v/>
      </c>
      <c r="L463" s="47" t="str">
        <f t="shared" si="30"/>
        <v/>
      </c>
      <c r="M463" s="48" t="str">
        <f t="shared" si="31"/>
        <v/>
      </c>
    </row>
    <row r="464" spans="2:13" ht="12.95" customHeight="1" x14ac:dyDescent="0.25">
      <c r="B464" s="39"/>
      <c r="C464" s="37"/>
      <c r="D464" s="28"/>
      <c r="E464" s="35"/>
      <c r="F464" s="38"/>
      <c r="G464" s="38"/>
      <c r="H464" s="40"/>
      <c r="I464" s="41" t="str">
        <f>IF($E464="","",IF(COUNTIF($K$10:$K464,$K464)&gt;1,"DUPLICATE","No"))</f>
        <v/>
      </c>
      <c r="J464" s="41" t="str">
        <f t="shared" si="28"/>
        <v/>
      </c>
      <c r="K464" s="42" t="str">
        <f t="shared" si="29"/>
        <v/>
      </c>
      <c r="L464" s="43" t="str">
        <f t="shared" si="30"/>
        <v/>
      </c>
      <c r="M464" s="44" t="str">
        <f t="shared" si="31"/>
        <v/>
      </c>
    </row>
    <row r="465" spans="2:13" ht="12.95" customHeight="1" x14ac:dyDescent="0.25">
      <c r="B465" s="39"/>
      <c r="C465" s="37"/>
      <c r="D465" s="28"/>
      <c r="E465" s="35"/>
      <c r="F465" s="38"/>
      <c r="G465" s="38"/>
      <c r="H465" s="40"/>
      <c r="I465" s="45" t="str">
        <f>IF($E465="","",IF(COUNTIF($K$10:$K465,$K465)&gt;1,"DUPLICATE","No"))</f>
        <v/>
      </c>
      <c r="J465" s="45" t="str">
        <f t="shared" si="28"/>
        <v/>
      </c>
      <c r="K465" s="46" t="str">
        <f t="shared" si="29"/>
        <v/>
      </c>
      <c r="L465" s="47" t="str">
        <f t="shared" si="30"/>
        <v/>
      </c>
      <c r="M465" s="48" t="str">
        <f t="shared" si="31"/>
        <v/>
      </c>
    </row>
    <row r="466" spans="2:13" ht="12.95" customHeight="1" x14ac:dyDescent="0.25">
      <c r="B466" s="39"/>
      <c r="C466" s="37"/>
      <c r="D466" s="28"/>
      <c r="E466" s="35"/>
      <c r="F466" s="38"/>
      <c r="G466" s="38"/>
      <c r="H466" s="40"/>
      <c r="I466" s="41" t="str">
        <f>IF($E466="","",IF(COUNTIF($K$10:$K466,$K466)&gt;1,"DUPLICATE","No"))</f>
        <v/>
      </c>
      <c r="J466" s="41" t="str">
        <f t="shared" si="28"/>
        <v/>
      </c>
      <c r="K466" s="42" t="str">
        <f t="shared" si="29"/>
        <v/>
      </c>
      <c r="L466" s="43" t="str">
        <f t="shared" si="30"/>
        <v/>
      </c>
      <c r="M466" s="44" t="str">
        <f t="shared" si="31"/>
        <v/>
      </c>
    </row>
    <row r="467" spans="2:13" ht="12.95" customHeight="1" x14ac:dyDescent="0.25">
      <c r="B467" s="39"/>
      <c r="C467" s="37"/>
      <c r="D467" s="28"/>
      <c r="E467" s="35"/>
      <c r="F467" s="38"/>
      <c r="G467" s="38"/>
      <c r="H467" s="40"/>
      <c r="I467" s="45" t="str">
        <f>IF($E467="","",IF(COUNTIF($K$10:$K467,$K467)&gt;1,"DUPLICATE","No"))</f>
        <v/>
      </c>
      <c r="J467" s="45" t="str">
        <f t="shared" si="28"/>
        <v/>
      </c>
      <c r="K467" s="46" t="str">
        <f t="shared" si="29"/>
        <v/>
      </c>
      <c r="L467" s="47" t="str">
        <f t="shared" si="30"/>
        <v/>
      </c>
      <c r="M467" s="48" t="str">
        <f t="shared" si="31"/>
        <v/>
      </c>
    </row>
    <row r="468" spans="2:13" ht="12.95" customHeight="1" x14ac:dyDescent="0.25">
      <c r="B468" s="39"/>
      <c r="C468" s="37"/>
      <c r="D468" s="28"/>
      <c r="E468" s="35"/>
      <c r="F468" s="38"/>
      <c r="G468" s="38"/>
      <c r="H468" s="40"/>
      <c r="I468" s="41" t="str">
        <f>IF($E468="","",IF(COUNTIF($K$10:$K468,$K468)&gt;1,"DUPLICATE","No"))</f>
        <v/>
      </c>
      <c r="J468" s="41" t="str">
        <f t="shared" si="28"/>
        <v/>
      </c>
      <c r="K468" s="42" t="str">
        <f t="shared" si="29"/>
        <v/>
      </c>
      <c r="L468" s="43" t="str">
        <f t="shared" si="30"/>
        <v/>
      </c>
      <c r="M468" s="44" t="str">
        <f t="shared" si="31"/>
        <v/>
      </c>
    </row>
    <row r="469" spans="2:13" ht="12.95" customHeight="1" x14ac:dyDescent="0.25">
      <c r="B469" s="39"/>
      <c r="C469" s="37"/>
      <c r="D469" s="28"/>
      <c r="E469" s="35"/>
      <c r="F469" s="38"/>
      <c r="G469" s="38"/>
      <c r="H469" s="40"/>
      <c r="I469" s="45" t="str">
        <f>IF($E469="","",IF(COUNTIF($K$10:$K469,$K469)&gt;1,"DUPLICATE","No"))</f>
        <v/>
      </c>
      <c r="J469" s="45" t="str">
        <f t="shared" si="28"/>
        <v/>
      </c>
      <c r="K469" s="46" t="str">
        <f t="shared" si="29"/>
        <v/>
      </c>
      <c r="L469" s="47" t="str">
        <f t="shared" si="30"/>
        <v/>
      </c>
      <c r="M469" s="48" t="str">
        <f t="shared" si="31"/>
        <v/>
      </c>
    </row>
    <row r="470" spans="2:13" ht="12.95" customHeight="1" x14ac:dyDescent="0.25">
      <c r="B470" s="39"/>
      <c r="C470" s="37"/>
      <c r="D470" s="28"/>
      <c r="E470" s="35"/>
      <c r="F470" s="38"/>
      <c r="G470" s="38"/>
      <c r="H470" s="40"/>
      <c r="I470" s="41" t="str">
        <f>IF($E470="","",IF(COUNTIF($K$10:$K470,$K470)&gt;1,"DUPLICATE","No"))</f>
        <v/>
      </c>
      <c r="J470" s="41" t="str">
        <f t="shared" si="28"/>
        <v/>
      </c>
      <c r="K470" s="42" t="str">
        <f t="shared" si="29"/>
        <v/>
      </c>
      <c r="L470" s="43" t="str">
        <f t="shared" si="30"/>
        <v/>
      </c>
      <c r="M470" s="44" t="str">
        <f t="shared" si="31"/>
        <v/>
      </c>
    </row>
    <row r="471" spans="2:13" ht="12.95" customHeight="1" x14ac:dyDescent="0.25">
      <c r="B471" s="39"/>
      <c r="C471" s="37"/>
      <c r="D471" s="28"/>
      <c r="E471" s="35"/>
      <c r="F471" s="38"/>
      <c r="G471" s="38"/>
      <c r="H471" s="40"/>
      <c r="I471" s="45" t="str">
        <f>IF($E471="","",IF(COUNTIF($K$10:$K471,$K471)&gt;1,"DUPLICATE","No"))</f>
        <v/>
      </c>
      <c r="J471" s="45" t="str">
        <f t="shared" si="28"/>
        <v/>
      </c>
      <c r="K471" s="46" t="str">
        <f t="shared" si="29"/>
        <v/>
      </c>
      <c r="L471" s="47" t="str">
        <f t="shared" si="30"/>
        <v/>
      </c>
      <c r="M471" s="48" t="str">
        <f t="shared" si="31"/>
        <v/>
      </c>
    </row>
    <row r="472" spans="2:13" ht="12.95" customHeight="1" x14ac:dyDescent="0.25">
      <c r="B472" s="39"/>
      <c r="C472" s="37"/>
      <c r="D472" s="28"/>
      <c r="E472" s="35"/>
      <c r="F472" s="38"/>
      <c r="G472" s="38"/>
      <c r="H472" s="40"/>
      <c r="I472" s="41" t="str">
        <f>IF($E472="","",IF(COUNTIF($K$10:$K472,$K472)&gt;1,"DUPLICATE","No"))</f>
        <v/>
      </c>
      <c r="J472" s="41" t="str">
        <f t="shared" si="28"/>
        <v/>
      </c>
      <c r="K472" s="42" t="str">
        <f t="shared" si="29"/>
        <v/>
      </c>
      <c r="L472" s="43" t="str">
        <f t="shared" si="30"/>
        <v/>
      </c>
      <c r="M472" s="44" t="str">
        <f t="shared" si="31"/>
        <v/>
      </c>
    </row>
    <row r="473" spans="2:13" ht="12.95" customHeight="1" x14ac:dyDescent="0.25">
      <c r="B473" s="39"/>
      <c r="C473" s="37"/>
      <c r="D473" s="28"/>
      <c r="E473" s="35"/>
      <c r="F473" s="38"/>
      <c r="G473" s="38"/>
      <c r="H473" s="40"/>
      <c r="I473" s="45" t="str">
        <f>IF($E473="","",IF(COUNTIF($K$10:$K473,$K473)&gt;1,"DUPLICATE","No"))</f>
        <v/>
      </c>
      <c r="J473" s="45" t="str">
        <f t="shared" si="28"/>
        <v/>
      </c>
      <c r="K473" s="46" t="str">
        <f t="shared" si="29"/>
        <v/>
      </c>
      <c r="L473" s="47" t="str">
        <f t="shared" si="30"/>
        <v/>
      </c>
      <c r="M473" s="48" t="str">
        <f t="shared" si="31"/>
        <v/>
      </c>
    </row>
    <row r="474" spans="2:13" ht="12.95" customHeight="1" x14ac:dyDescent="0.25">
      <c r="B474" s="39"/>
      <c r="C474" s="37"/>
      <c r="D474" s="28"/>
      <c r="E474" s="35"/>
      <c r="F474" s="38"/>
      <c r="G474" s="38"/>
      <c r="H474" s="40"/>
      <c r="I474" s="41" t="str">
        <f>IF($E474="","",IF(COUNTIF($K$10:$K474,$K474)&gt;1,"DUPLICATE","No"))</f>
        <v/>
      </c>
      <c r="J474" s="41" t="str">
        <f t="shared" si="28"/>
        <v/>
      </c>
      <c r="K474" s="42" t="str">
        <f t="shared" si="29"/>
        <v/>
      </c>
      <c r="L474" s="43" t="str">
        <f t="shared" si="30"/>
        <v/>
      </c>
      <c r="M474" s="44" t="str">
        <f t="shared" si="31"/>
        <v/>
      </c>
    </row>
    <row r="475" spans="2:13" ht="12.95" customHeight="1" x14ac:dyDescent="0.25">
      <c r="B475" s="39"/>
      <c r="C475" s="37"/>
      <c r="D475" s="28"/>
      <c r="E475" s="35"/>
      <c r="F475" s="38"/>
      <c r="G475" s="38"/>
      <c r="H475" s="40"/>
      <c r="I475" s="45" t="str">
        <f>IF($E475="","",IF(COUNTIF($K$10:$K475,$K475)&gt;1,"DUPLICATE","No"))</f>
        <v/>
      </c>
      <c r="J475" s="45" t="str">
        <f t="shared" si="28"/>
        <v/>
      </c>
      <c r="K475" s="46" t="str">
        <f t="shared" si="29"/>
        <v/>
      </c>
      <c r="L475" s="47" t="str">
        <f t="shared" si="30"/>
        <v/>
      </c>
      <c r="M475" s="48" t="str">
        <f t="shared" si="31"/>
        <v/>
      </c>
    </row>
    <row r="476" spans="2:13" ht="12.95" customHeight="1" x14ac:dyDescent="0.25">
      <c r="B476" s="39"/>
      <c r="C476" s="37"/>
      <c r="D476" s="28"/>
      <c r="E476" s="35"/>
      <c r="F476" s="38"/>
      <c r="G476" s="38"/>
      <c r="H476" s="40"/>
      <c r="I476" s="41" t="str">
        <f>IF($E476="","",IF(COUNTIF($K$10:$K476,$K476)&gt;1,"DUPLICATE","No"))</f>
        <v/>
      </c>
      <c r="J476" s="41" t="str">
        <f t="shared" si="28"/>
        <v/>
      </c>
      <c r="K476" s="42" t="str">
        <f t="shared" si="29"/>
        <v/>
      </c>
      <c r="L476" s="43" t="str">
        <f t="shared" si="30"/>
        <v/>
      </c>
      <c r="M476" s="44" t="str">
        <f t="shared" si="31"/>
        <v/>
      </c>
    </row>
    <row r="477" spans="2:13" ht="12.95" customHeight="1" x14ac:dyDescent="0.25">
      <c r="B477" s="39"/>
      <c r="C477" s="37"/>
      <c r="D477" s="28"/>
      <c r="E477" s="35"/>
      <c r="F477" s="38"/>
      <c r="G477" s="38"/>
      <c r="H477" s="40"/>
      <c r="I477" s="45" t="str">
        <f>IF($E477="","",IF(COUNTIF($K$10:$K477,$K477)&gt;1,"DUPLICATE","No"))</f>
        <v/>
      </c>
      <c r="J477" s="45" t="str">
        <f t="shared" si="28"/>
        <v/>
      </c>
      <c r="K477" s="46" t="str">
        <f t="shared" si="29"/>
        <v/>
      </c>
      <c r="L477" s="47" t="str">
        <f t="shared" si="30"/>
        <v/>
      </c>
      <c r="M477" s="48" t="str">
        <f t="shared" si="31"/>
        <v/>
      </c>
    </row>
    <row r="478" spans="2:13" ht="12.95" customHeight="1" x14ac:dyDescent="0.25">
      <c r="B478" s="39"/>
      <c r="C478" s="37"/>
      <c r="D478" s="28"/>
      <c r="E478" s="35"/>
      <c r="F478" s="38"/>
      <c r="G478" s="38"/>
      <c r="H478" s="40"/>
      <c r="I478" s="41" t="str">
        <f>IF($E478="","",IF(COUNTIF($K$10:$K478,$K478)&gt;1,"DUPLICATE","No"))</f>
        <v/>
      </c>
      <c r="J478" s="41" t="str">
        <f t="shared" si="28"/>
        <v/>
      </c>
      <c r="K478" s="42" t="str">
        <f t="shared" si="29"/>
        <v/>
      </c>
      <c r="L478" s="43" t="str">
        <f t="shared" si="30"/>
        <v/>
      </c>
      <c r="M478" s="44" t="str">
        <f t="shared" si="31"/>
        <v/>
      </c>
    </row>
    <row r="479" spans="2:13" ht="12.95" customHeight="1" x14ac:dyDescent="0.25">
      <c r="B479" s="39"/>
      <c r="C479" s="37"/>
      <c r="D479" s="28"/>
      <c r="E479" s="35"/>
      <c r="F479" s="38"/>
      <c r="G479" s="38"/>
      <c r="H479" s="40"/>
      <c r="I479" s="45" t="str">
        <f>IF($E479="","",IF(COUNTIF($K$10:$K479,$K479)&gt;1,"DUPLICATE","No"))</f>
        <v/>
      </c>
      <c r="J479" s="45" t="str">
        <f t="shared" si="28"/>
        <v/>
      </c>
      <c r="K479" s="46" t="str">
        <f t="shared" si="29"/>
        <v/>
      </c>
      <c r="L479" s="47" t="str">
        <f t="shared" si="30"/>
        <v/>
      </c>
      <c r="M479" s="48" t="str">
        <f t="shared" si="31"/>
        <v/>
      </c>
    </row>
    <row r="480" spans="2:13" ht="12.95" customHeight="1" x14ac:dyDescent="0.25">
      <c r="B480" s="39"/>
      <c r="C480" s="37"/>
      <c r="D480" s="28"/>
      <c r="E480" s="35"/>
      <c r="F480" s="38"/>
      <c r="G480" s="38"/>
      <c r="H480" s="40"/>
      <c r="I480" s="41" t="str">
        <f>IF($E480="","",IF(COUNTIF($K$10:$K480,$K480)&gt;1,"DUPLICATE","No"))</f>
        <v/>
      </c>
      <c r="J480" s="41" t="str">
        <f t="shared" si="28"/>
        <v/>
      </c>
      <c r="K480" s="42" t="str">
        <f t="shared" si="29"/>
        <v/>
      </c>
      <c r="L480" s="43" t="str">
        <f t="shared" si="30"/>
        <v/>
      </c>
      <c r="M480" s="44" t="str">
        <f t="shared" si="31"/>
        <v/>
      </c>
    </row>
    <row r="481" spans="2:13" ht="12.95" customHeight="1" x14ac:dyDescent="0.25">
      <c r="B481" s="39"/>
      <c r="C481" s="37"/>
      <c r="D481" s="28"/>
      <c r="E481" s="35"/>
      <c r="F481" s="38"/>
      <c r="G481" s="38"/>
      <c r="H481" s="40"/>
      <c r="I481" s="45" t="str">
        <f>IF($E481="","",IF(COUNTIF($K$10:$K481,$K481)&gt;1,"DUPLICATE","No"))</f>
        <v/>
      </c>
      <c r="J481" s="45" t="str">
        <f t="shared" si="28"/>
        <v/>
      </c>
      <c r="K481" s="46" t="str">
        <f t="shared" si="29"/>
        <v/>
      </c>
      <c r="L481" s="47" t="str">
        <f t="shared" si="30"/>
        <v/>
      </c>
      <c r="M481" s="48" t="str">
        <f t="shared" si="31"/>
        <v/>
      </c>
    </row>
    <row r="482" spans="2:13" ht="12.95" customHeight="1" x14ac:dyDescent="0.25">
      <c r="B482" s="39"/>
      <c r="C482" s="37"/>
      <c r="D482" s="28"/>
      <c r="E482" s="35"/>
      <c r="F482" s="38"/>
      <c r="G482" s="38"/>
      <c r="H482" s="40"/>
      <c r="I482" s="41" t="str">
        <f>IF($E482="","",IF(COUNTIF($K$10:$K482,$K482)&gt;1,"DUPLICATE","No"))</f>
        <v/>
      </c>
      <c r="J482" s="41" t="str">
        <f t="shared" si="28"/>
        <v/>
      </c>
      <c r="K482" s="42" t="str">
        <f t="shared" si="29"/>
        <v/>
      </c>
      <c r="L482" s="43" t="str">
        <f t="shared" si="30"/>
        <v/>
      </c>
      <c r="M482" s="44" t="str">
        <f t="shared" si="31"/>
        <v/>
      </c>
    </row>
    <row r="483" spans="2:13" ht="12.95" customHeight="1" x14ac:dyDescent="0.25">
      <c r="B483" s="39"/>
      <c r="C483" s="37"/>
      <c r="D483" s="28"/>
      <c r="E483" s="35"/>
      <c r="F483" s="38"/>
      <c r="G483" s="38"/>
      <c r="H483" s="40"/>
      <c r="I483" s="45" t="str">
        <f>IF($E483="","",IF(COUNTIF($K$10:$K483,$K483)&gt;1,"DUPLICATE","No"))</f>
        <v/>
      </c>
      <c r="J483" s="45" t="str">
        <f t="shared" si="28"/>
        <v/>
      </c>
      <c r="K483" s="46" t="str">
        <f t="shared" si="29"/>
        <v/>
      </c>
      <c r="L483" s="47" t="str">
        <f t="shared" si="30"/>
        <v/>
      </c>
      <c r="M483" s="48" t="str">
        <f t="shared" si="31"/>
        <v/>
      </c>
    </row>
    <row r="484" spans="2:13" ht="12.95" customHeight="1" x14ac:dyDescent="0.25">
      <c r="B484" s="39"/>
      <c r="C484" s="37"/>
      <c r="D484" s="28"/>
      <c r="E484" s="35"/>
      <c r="F484" s="38"/>
      <c r="G484" s="38"/>
      <c r="H484" s="40"/>
      <c r="I484" s="41" t="str">
        <f>IF($E484="","",IF(COUNTIF($K$10:$K484,$K484)&gt;1,"DUPLICATE","No"))</f>
        <v/>
      </c>
      <c r="J484" s="41" t="str">
        <f t="shared" si="28"/>
        <v/>
      </c>
      <c r="K484" s="42" t="str">
        <f t="shared" si="29"/>
        <v/>
      </c>
      <c r="L484" s="43" t="str">
        <f t="shared" si="30"/>
        <v/>
      </c>
      <c r="M484" s="44" t="str">
        <f t="shared" si="31"/>
        <v/>
      </c>
    </row>
    <row r="485" spans="2:13" ht="12.95" customHeight="1" x14ac:dyDescent="0.25">
      <c r="B485" s="39"/>
      <c r="C485" s="37"/>
      <c r="D485" s="28"/>
      <c r="E485" s="35"/>
      <c r="F485" s="38"/>
      <c r="G485" s="38"/>
      <c r="H485" s="40"/>
      <c r="I485" s="45" t="str">
        <f>IF($E485="","",IF(COUNTIF($K$10:$K485,$K485)&gt;1,"DUPLICATE","No"))</f>
        <v/>
      </c>
      <c r="J485" s="45" t="str">
        <f t="shared" si="28"/>
        <v/>
      </c>
      <c r="K485" s="46" t="str">
        <f t="shared" si="29"/>
        <v/>
      </c>
      <c r="L485" s="47" t="str">
        <f t="shared" si="30"/>
        <v/>
      </c>
      <c r="M485" s="48" t="str">
        <f t="shared" si="31"/>
        <v/>
      </c>
    </row>
    <row r="486" spans="2:13" ht="12.95" customHeight="1" x14ac:dyDescent="0.25">
      <c r="B486" s="39"/>
      <c r="C486" s="37"/>
      <c r="D486" s="28"/>
      <c r="E486" s="35"/>
      <c r="F486" s="38"/>
      <c r="G486" s="38"/>
      <c r="H486" s="40"/>
      <c r="I486" s="41" t="str">
        <f>IF($E486="","",IF(COUNTIF($K$10:$K486,$K486)&gt;1,"DUPLICATE","No"))</f>
        <v/>
      </c>
      <c r="J486" s="41" t="str">
        <f t="shared" si="28"/>
        <v/>
      </c>
      <c r="K486" s="42" t="str">
        <f t="shared" si="29"/>
        <v/>
      </c>
      <c r="L486" s="43" t="str">
        <f t="shared" si="30"/>
        <v/>
      </c>
      <c r="M486" s="44" t="str">
        <f t="shared" si="31"/>
        <v/>
      </c>
    </row>
    <row r="487" spans="2:13" ht="12.95" customHeight="1" x14ac:dyDescent="0.25">
      <c r="B487" s="39"/>
      <c r="C487" s="37"/>
      <c r="D487" s="28"/>
      <c r="E487" s="35"/>
      <c r="F487" s="38"/>
      <c r="G487" s="38"/>
      <c r="H487" s="40"/>
      <c r="I487" s="45" t="str">
        <f>IF($E487="","",IF(COUNTIF($K$10:$K487,$K487)&gt;1,"DUPLICATE","No"))</f>
        <v/>
      </c>
      <c r="J487" s="45" t="str">
        <f t="shared" si="28"/>
        <v/>
      </c>
      <c r="K487" s="46" t="str">
        <f t="shared" si="29"/>
        <v/>
      </c>
      <c r="L487" s="47" t="str">
        <f t="shared" si="30"/>
        <v/>
      </c>
      <c r="M487" s="48" t="str">
        <f t="shared" si="31"/>
        <v/>
      </c>
    </row>
    <row r="488" spans="2:13" ht="12.95" customHeight="1" x14ac:dyDescent="0.25">
      <c r="B488" s="39"/>
      <c r="C488" s="37"/>
      <c r="D488" s="28"/>
      <c r="E488" s="35"/>
      <c r="F488" s="38"/>
      <c r="G488" s="38"/>
      <c r="H488" s="40"/>
      <c r="I488" s="41" t="str">
        <f>IF($E488="","",IF(COUNTIF($K$10:$K488,$K488)&gt;1,"DUPLICATE","No"))</f>
        <v/>
      </c>
      <c r="J488" s="41" t="str">
        <f t="shared" si="28"/>
        <v/>
      </c>
      <c r="K488" s="42" t="str">
        <f t="shared" si="29"/>
        <v/>
      </c>
      <c r="L488" s="43" t="str">
        <f t="shared" si="30"/>
        <v/>
      </c>
      <c r="M488" s="44" t="str">
        <f t="shared" si="31"/>
        <v/>
      </c>
    </row>
    <row r="489" spans="2:13" ht="12.95" customHeight="1" x14ac:dyDescent="0.25">
      <c r="B489" s="39"/>
      <c r="C489" s="37"/>
      <c r="D489" s="28"/>
      <c r="E489" s="35"/>
      <c r="F489" s="38"/>
      <c r="G489" s="38"/>
      <c r="H489" s="40"/>
      <c r="I489" s="45" t="str">
        <f>IF($E489="","",IF(COUNTIF($K$10:$K489,$K489)&gt;1,"DUPLICATE","No"))</f>
        <v/>
      </c>
      <c r="J489" s="45" t="str">
        <f t="shared" si="28"/>
        <v/>
      </c>
      <c r="K489" s="46" t="str">
        <f t="shared" si="29"/>
        <v/>
      </c>
      <c r="L489" s="47" t="str">
        <f t="shared" si="30"/>
        <v/>
      </c>
      <c r="M489" s="48" t="str">
        <f t="shared" si="31"/>
        <v/>
      </c>
    </row>
    <row r="490" spans="2:13" ht="12.95" customHeight="1" x14ac:dyDescent="0.25">
      <c r="B490" s="39"/>
      <c r="C490" s="37"/>
      <c r="D490" s="28"/>
      <c r="E490" s="35"/>
      <c r="F490" s="38"/>
      <c r="G490" s="38"/>
      <c r="H490" s="40"/>
      <c r="I490" s="41" t="str">
        <f>IF($E490="","",IF(COUNTIF($K$10:$K490,$K490)&gt;1,"DUPLICATE","No"))</f>
        <v/>
      </c>
      <c r="J490" s="41" t="str">
        <f t="shared" si="28"/>
        <v/>
      </c>
      <c r="K490" s="42" t="str">
        <f t="shared" si="29"/>
        <v/>
      </c>
      <c r="L490" s="43" t="str">
        <f t="shared" si="30"/>
        <v/>
      </c>
      <c r="M490" s="44" t="str">
        <f t="shared" si="31"/>
        <v/>
      </c>
    </row>
    <row r="491" spans="2:13" ht="12.95" customHeight="1" x14ac:dyDescent="0.25">
      <c r="B491" s="39"/>
      <c r="C491" s="37"/>
      <c r="D491" s="28"/>
      <c r="E491" s="35"/>
      <c r="F491" s="38"/>
      <c r="G491" s="38"/>
      <c r="H491" s="40"/>
      <c r="I491" s="45" t="str">
        <f>IF($E491="","",IF(COUNTIF($K$10:$K491,$K491)&gt;1,"DUPLICATE","No"))</f>
        <v/>
      </c>
      <c r="J491" s="45" t="str">
        <f t="shared" si="28"/>
        <v/>
      </c>
      <c r="K491" s="46" t="str">
        <f t="shared" si="29"/>
        <v/>
      </c>
      <c r="L491" s="47" t="str">
        <f t="shared" si="30"/>
        <v/>
      </c>
      <c r="M491" s="48" t="str">
        <f t="shared" si="31"/>
        <v/>
      </c>
    </row>
    <row r="492" spans="2:13" ht="12.95" customHeight="1" x14ac:dyDescent="0.25">
      <c r="B492" s="39"/>
      <c r="C492" s="37"/>
      <c r="D492" s="28"/>
      <c r="E492" s="35"/>
      <c r="F492" s="38"/>
      <c r="G492" s="38"/>
      <c r="H492" s="40"/>
      <c r="I492" s="41" t="str">
        <f>IF($E492="","",IF(COUNTIF($K$10:$K492,$K492)&gt;1,"DUPLICATE","No"))</f>
        <v/>
      </c>
      <c r="J492" s="41" t="str">
        <f t="shared" si="28"/>
        <v/>
      </c>
      <c r="K492" s="42" t="str">
        <f t="shared" si="29"/>
        <v/>
      </c>
      <c r="L492" s="43" t="str">
        <f t="shared" si="30"/>
        <v/>
      </c>
      <c r="M492" s="44" t="str">
        <f t="shared" si="31"/>
        <v/>
      </c>
    </row>
    <row r="493" spans="2:13" ht="12.95" customHeight="1" x14ac:dyDescent="0.25">
      <c r="B493" s="39"/>
      <c r="C493" s="37"/>
      <c r="D493" s="28"/>
      <c r="E493" s="35"/>
      <c r="F493" s="38"/>
      <c r="G493" s="38"/>
      <c r="H493" s="40"/>
      <c r="I493" s="45" t="str">
        <f>IF($E493="","",IF(COUNTIF($K$10:$K493,$K493)&gt;1,"DUPLICATE","No"))</f>
        <v/>
      </c>
      <c r="J493" s="45" t="str">
        <f t="shared" si="28"/>
        <v/>
      </c>
      <c r="K493" s="46" t="str">
        <f t="shared" si="29"/>
        <v/>
      </c>
      <c r="L493" s="47" t="str">
        <f t="shared" si="30"/>
        <v/>
      </c>
      <c r="M493" s="48" t="str">
        <f t="shared" si="31"/>
        <v/>
      </c>
    </row>
    <row r="494" spans="2:13" ht="12.95" customHeight="1" x14ac:dyDescent="0.25">
      <c r="B494" s="39"/>
      <c r="C494" s="37"/>
      <c r="D494" s="28"/>
      <c r="E494" s="35"/>
      <c r="F494" s="38"/>
      <c r="G494" s="38"/>
      <c r="H494" s="40"/>
      <c r="I494" s="41" t="str">
        <f>IF($E494="","",IF(COUNTIF($K$10:$K494,$K494)&gt;1,"DUPLICATE","No"))</f>
        <v/>
      </c>
      <c r="J494" s="41" t="str">
        <f t="shared" si="28"/>
        <v/>
      </c>
      <c r="K494" s="42" t="str">
        <f t="shared" si="29"/>
        <v/>
      </c>
      <c r="L494" s="43" t="str">
        <f t="shared" si="30"/>
        <v/>
      </c>
      <c r="M494" s="44" t="str">
        <f t="shared" si="31"/>
        <v/>
      </c>
    </row>
    <row r="495" spans="2:13" ht="12.95" customHeight="1" x14ac:dyDescent="0.25">
      <c r="B495" s="39"/>
      <c r="C495" s="37"/>
      <c r="D495" s="28"/>
      <c r="E495" s="35"/>
      <c r="F495" s="38"/>
      <c r="G495" s="38"/>
      <c r="H495" s="40"/>
      <c r="I495" s="45" t="str">
        <f>IF($E495="","",IF(COUNTIF($K$10:$K495,$K495)&gt;1,"DUPLICATE","No"))</f>
        <v/>
      </c>
      <c r="J495" s="45" t="str">
        <f t="shared" si="28"/>
        <v/>
      </c>
      <c r="K495" s="46" t="str">
        <f t="shared" si="29"/>
        <v/>
      </c>
      <c r="L495" s="47" t="str">
        <f t="shared" si="30"/>
        <v/>
      </c>
      <c r="M495" s="48" t="str">
        <f t="shared" si="31"/>
        <v/>
      </c>
    </row>
    <row r="496" spans="2:13" ht="12.95" customHeight="1" x14ac:dyDescent="0.25">
      <c r="B496" s="39"/>
      <c r="C496" s="37"/>
      <c r="D496" s="28"/>
      <c r="E496" s="35"/>
      <c r="F496" s="38"/>
      <c r="G496" s="38"/>
      <c r="H496" s="40"/>
      <c r="I496" s="41" t="str">
        <f>IF($E496="","",IF(COUNTIF($K$10:$K496,$K496)&gt;1,"DUPLICATE","No"))</f>
        <v/>
      </c>
      <c r="J496" s="41" t="str">
        <f t="shared" si="28"/>
        <v/>
      </c>
      <c r="K496" s="42" t="str">
        <f t="shared" si="29"/>
        <v/>
      </c>
      <c r="L496" s="43" t="str">
        <f t="shared" si="30"/>
        <v/>
      </c>
      <c r="M496" s="44" t="str">
        <f t="shared" si="31"/>
        <v/>
      </c>
    </row>
    <row r="497" spans="1:14" ht="12.95" customHeight="1" x14ac:dyDescent="0.25">
      <c r="B497" s="39"/>
      <c r="C497" s="37"/>
      <c r="D497" s="28"/>
      <c r="E497" s="35"/>
      <c r="F497" s="38"/>
      <c r="G497" s="38"/>
      <c r="H497" s="40"/>
      <c r="I497" s="45" t="str">
        <f>IF($E497="","",IF(COUNTIF($K$10:$K497,$K497)&gt;1,"DUPLICATE","No"))</f>
        <v/>
      </c>
      <c r="J497" s="45" t="str">
        <f t="shared" si="28"/>
        <v/>
      </c>
      <c r="K497" s="46" t="str">
        <f t="shared" si="29"/>
        <v/>
      </c>
      <c r="L497" s="47" t="str">
        <f t="shared" si="30"/>
        <v/>
      </c>
      <c r="M497" s="48" t="str">
        <f t="shared" si="31"/>
        <v/>
      </c>
    </row>
    <row r="498" spans="1:14" ht="12.95" customHeight="1" x14ac:dyDescent="0.25">
      <c r="B498" s="39"/>
      <c r="C498" s="37"/>
      <c r="D498" s="28"/>
      <c r="E498" s="35"/>
      <c r="F498" s="38"/>
      <c r="G498" s="38"/>
      <c r="H498" s="40"/>
      <c r="I498" s="41" t="str">
        <f>IF($E498="","",IF(COUNTIF($K$10:$K498,$K498)&gt;1,"DUPLICATE","No"))</f>
        <v/>
      </c>
      <c r="J498" s="41" t="str">
        <f t="shared" si="28"/>
        <v/>
      </c>
      <c r="K498" s="42" t="str">
        <f t="shared" si="29"/>
        <v/>
      </c>
      <c r="L498" s="43" t="str">
        <f t="shared" si="30"/>
        <v/>
      </c>
      <c r="M498" s="44" t="str">
        <f t="shared" si="31"/>
        <v/>
      </c>
    </row>
    <row r="499" spans="1:14" ht="12.95" customHeight="1" x14ac:dyDescent="0.25">
      <c r="B499" s="39"/>
      <c r="C499" s="37"/>
      <c r="D499" s="28"/>
      <c r="E499" s="35"/>
      <c r="F499" s="38"/>
      <c r="G499" s="38"/>
      <c r="H499" s="40"/>
      <c r="I499" s="45" t="str">
        <f>IF($E499="","",IF(COUNTIF($K$10:$K499,$K499)&gt;1,"DUPLICATE","No"))</f>
        <v/>
      </c>
      <c r="J499" s="45" t="str">
        <f t="shared" si="28"/>
        <v/>
      </c>
      <c r="K499" s="46" t="str">
        <f t="shared" si="29"/>
        <v/>
      </c>
      <c r="L499" s="47" t="str">
        <f t="shared" si="30"/>
        <v/>
      </c>
      <c r="M499" s="48" t="str">
        <f t="shared" si="31"/>
        <v/>
      </c>
    </row>
    <row r="500" spans="1:14" ht="17.100000000000001" customHeight="1" x14ac:dyDescent="0.25">
      <c r="A500" s="197" t="s">
        <v>169</v>
      </c>
      <c r="B500" s="173"/>
      <c r="C500" s="173"/>
      <c r="D500" s="173"/>
      <c r="E500" s="173"/>
      <c r="F500" s="173"/>
      <c r="G500" s="173"/>
      <c r="H500" s="173"/>
      <c r="I500" s="173"/>
      <c r="J500" s="173"/>
      <c r="K500" s="173"/>
      <c r="L500" s="173"/>
      <c r="M500" s="173"/>
      <c r="N500" s="173"/>
    </row>
    <row r="501" spans="1:14" x14ac:dyDescent="0.25">
      <c r="A501" s="190" t="s">
        <v>112</v>
      </c>
      <c r="B501" s="191"/>
      <c r="C501" s="30">
        <f>SUMPRODUCT(--('5. AI Import Staging'!$E$10:$E$499&lt;&gt;""))</f>
        <v>0</v>
      </c>
    </row>
    <row r="502" spans="1:14" x14ac:dyDescent="0.25">
      <c r="A502" s="190" t="s">
        <v>113</v>
      </c>
      <c r="B502" s="191"/>
      <c r="C502" s="30">
        <v>490</v>
      </c>
    </row>
    <row r="503" spans="1:14" x14ac:dyDescent="0.25">
      <c r="A503" s="190" t="s">
        <v>114</v>
      </c>
      <c r="B503" s="191"/>
      <c r="C503" s="30">
        <f>MAX(0,490-$C$501)</f>
        <v>490</v>
      </c>
    </row>
    <row r="504" spans="1:14" x14ac:dyDescent="0.25">
      <c r="A504" s="194" t="s">
        <v>115</v>
      </c>
      <c r="B504" s="191"/>
      <c r="C504" s="31" t="str">
        <f>IF($C$503&lt;=0,"FULL - no more rows can be entered",IF($C$503&lt;=50,"NEARLY FULL - contact Powell United","OK"))</f>
        <v>OK</v>
      </c>
      <c r="D504" s="193" t="s">
        <v>170</v>
      </c>
      <c r="E504" s="173"/>
      <c r="F504" s="173"/>
      <c r="G504" s="173"/>
      <c r="H504" s="173"/>
      <c r="I504" s="173"/>
      <c r="J504" s="173"/>
      <c r="K504" s="173"/>
      <c r="L504" s="173"/>
      <c r="M504" s="173"/>
      <c r="N504" s="173"/>
    </row>
    <row r="505" spans="1:14" ht="8.1" customHeight="1" x14ac:dyDescent="0.25"/>
    <row r="506" spans="1:14" ht="8.1" customHeight="1" x14ac:dyDescent="0.25"/>
    <row r="507" spans="1:14" ht="20.100000000000001" customHeight="1" x14ac:dyDescent="0.25">
      <c r="A507" s="178" t="s">
        <v>171</v>
      </c>
      <c r="B507" s="173"/>
      <c r="C507" s="173"/>
      <c r="D507" s="173"/>
      <c r="E507" s="173"/>
      <c r="F507" s="173"/>
      <c r="G507" s="173"/>
      <c r="H507" s="173"/>
      <c r="I507" s="173"/>
      <c r="J507" s="173"/>
      <c r="K507" s="173"/>
      <c r="L507" s="173"/>
      <c r="M507" s="173"/>
      <c r="N507" s="173"/>
    </row>
    <row r="508" spans="1:14" ht="16.350000000000001" customHeight="1" x14ac:dyDescent="0.25">
      <c r="A508" s="192" t="s">
        <v>172</v>
      </c>
      <c r="B508" s="173"/>
      <c r="C508" s="173"/>
      <c r="D508" s="173"/>
      <c r="E508" s="173"/>
      <c r="F508" s="173"/>
      <c r="G508" s="173"/>
      <c r="H508" s="173"/>
      <c r="I508" s="173"/>
      <c r="J508" s="173"/>
      <c r="K508" s="173"/>
      <c r="L508" s="173"/>
      <c r="M508" s="173"/>
      <c r="N508" s="173"/>
    </row>
    <row r="509" spans="1:14" ht="8.1" customHeight="1" x14ac:dyDescent="0.25"/>
    <row r="510" spans="1:14" x14ac:dyDescent="0.25">
      <c r="B510" s="206" t="s">
        <v>173</v>
      </c>
      <c r="C510" s="191"/>
      <c r="D510" s="49">
        <f>COUNTIFS($B$10:$B$499,$B$7)</f>
        <v>0</v>
      </c>
    </row>
    <row r="511" spans="1:14" x14ac:dyDescent="0.25">
      <c r="B511" s="206" t="s">
        <v>174</v>
      </c>
      <c r="C511" s="191"/>
      <c r="D511" s="50">
        <f>SUMIFS($F$10:$F$499,$B$10:$B$499,$B$7)</f>
        <v>0</v>
      </c>
    </row>
    <row r="512" spans="1:14" x14ac:dyDescent="0.25">
      <c r="B512" s="206" t="s">
        <v>175</v>
      </c>
      <c r="C512" s="191"/>
      <c r="D512" s="50">
        <f>SUMIFS($G$10:$G$499,$B$10:$B$499,$B$7)</f>
        <v>0</v>
      </c>
    </row>
    <row r="513" spans="1:14" x14ac:dyDescent="0.25">
      <c r="B513" s="206" t="s">
        <v>176</v>
      </c>
      <c r="C513" s="191"/>
      <c r="D513" s="50">
        <f>N($J$7)</f>
        <v>0</v>
      </c>
    </row>
    <row r="514" spans="1:14" x14ac:dyDescent="0.25">
      <c r="B514" s="206" t="s">
        <v>177</v>
      </c>
      <c r="C514" s="191"/>
      <c r="D514" s="50">
        <f>N($L$7)</f>
        <v>0</v>
      </c>
    </row>
    <row r="515" spans="1:14" x14ac:dyDescent="0.25">
      <c r="B515" s="206" t="s">
        <v>178</v>
      </c>
      <c r="C515" s="191"/>
      <c r="D515" s="50">
        <f>ROUND($D$513-$D$511,2)</f>
        <v>0</v>
      </c>
    </row>
    <row r="516" spans="1:14" x14ac:dyDescent="0.25">
      <c r="B516" s="206" t="s">
        <v>179</v>
      </c>
      <c r="C516" s="191"/>
      <c r="D516" s="50">
        <f>ROUND($D$514-$D$512,2)</f>
        <v>0</v>
      </c>
    </row>
    <row r="517" spans="1:14" x14ac:dyDescent="0.25">
      <c r="B517" s="206" t="s">
        <v>180</v>
      </c>
      <c r="C517" s="191"/>
      <c r="D517" s="49">
        <f>COUNTIFS($B$10:$B$499,$B$7,$M$10:$M$499,"NO")</f>
        <v>0</v>
      </c>
    </row>
    <row r="518" spans="1:14" x14ac:dyDescent="0.25">
      <c r="B518" s="210" t="s">
        <v>181</v>
      </c>
      <c r="C518" s="191"/>
      <c r="D518" s="31" t="str">
        <f>IF(AND(N($J$7)=0,N($L$7)=0),"Enter the statement totals above",IF(AND(ABS(N($D$515))&lt;0.005,ABS(N($D$516))&lt;0.005),"Tied out","CHECK IMPORT"))</f>
        <v>Enter the statement totals above</v>
      </c>
    </row>
    <row r="519" spans="1:14" ht="8.1" customHeight="1" x14ac:dyDescent="0.25"/>
    <row r="520" spans="1:14" ht="20.100000000000001" customHeight="1" x14ac:dyDescent="0.25">
      <c r="A520" s="178" t="s">
        <v>182</v>
      </c>
      <c r="B520" s="173"/>
      <c r="C520" s="173"/>
      <c r="D520" s="173"/>
      <c r="E520" s="173"/>
      <c r="F520" s="173"/>
      <c r="G520" s="173"/>
      <c r="H520" s="173"/>
      <c r="I520" s="173"/>
      <c r="J520" s="173"/>
      <c r="K520" s="173"/>
      <c r="L520" s="173"/>
      <c r="M520" s="173"/>
      <c r="N520" s="173"/>
    </row>
    <row r="521" spans="1:14" ht="16.350000000000001" customHeight="1" x14ac:dyDescent="0.25">
      <c r="A521" s="189" t="s">
        <v>183</v>
      </c>
      <c r="B521" s="173"/>
      <c r="C521" s="173"/>
      <c r="D521" s="173"/>
      <c r="E521" s="173"/>
      <c r="F521" s="173"/>
      <c r="G521" s="173"/>
      <c r="H521" s="173"/>
      <c r="I521" s="173"/>
      <c r="J521" s="173"/>
      <c r="K521" s="173"/>
      <c r="L521" s="173"/>
      <c r="M521" s="173"/>
      <c r="N521" s="173"/>
    </row>
    <row r="522" spans="1:14" ht="17.100000000000001" customHeight="1" x14ac:dyDescent="0.25">
      <c r="B522" s="34">
        <v>1</v>
      </c>
      <c r="C522" s="186" t="s">
        <v>184</v>
      </c>
      <c r="D522" s="173"/>
      <c r="E522" s="173"/>
      <c r="F522" s="173"/>
      <c r="G522" s="173"/>
      <c r="H522" s="173"/>
      <c r="I522" s="173"/>
      <c r="J522" s="173"/>
      <c r="K522" s="173"/>
      <c r="L522" s="173"/>
      <c r="M522" s="173"/>
      <c r="N522" s="173"/>
    </row>
    <row r="523" spans="1:14" ht="17.100000000000001" customHeight="1" x14ac:dyDescent="0.25">
      <c r="B523" s="34">
        <v>2</v>
      </c>
      <c r="C523" s="186" t="s">
        <v>185</v>
      </c>
      <c r="D523" s="173"/>
      <c r="E523" s="173"/>
      <c r="F523" s="173"/>
      <c r="G523" s="173"/>
      <c r="H523" s="173"/>
      <c r="I523" s="173"/>
      <c r="J523" s="173"/>
      <c r="K523" s="173"/>
      <c r="L523" s="173"/>
      <c r="M523" s="173"/>
      <c r="N523" s="173"/>
    </row>
    <row r="524" spans="1:14" ht="17.100000000000001" customHeight="1" x14ac:dyDescent="0.25">
      <c r="B524" s="34">
        <v>3</v>
      </c>
      <c r="C524" s="186" t="s">
        <v>186</v>
      </c>
      <c r="D524" s="173"/>
      <c r="E524" s="173"/>
      <c r="F524" s="173"/>
      <c r="G524" s="173"/>
      <c r="H524" s="173"/>
      <c r="I524" s="173"/>
      <c r="J524" s="173"/>
      <c r="K524" s="173"/>
      <c r="L524" s="173"/>
      <c r="M524" s="173"/>
      <c r="N524" s="173"/>
    </row>
    <row r="525" spans="1:14" ht="17.100000000000001" customHeight="1" x14ac:dyDescent="0.25">
      <c r="B525" s="34">
        <v>4</v>
      </c>
      <c r="C525" s="186" t="s">
        <v>187</v>
      </c>
      <c r="D525" s="173"/>
      <c r="E525" s="173"/>
      <c r="F525" s="173"/>
      <c r="G525" s="173"/>
      <c r="H525" s="173"/>
      <c r="I525" s="173"/>
      <c r="J525" s="173"/>
      <c r="K525" s="173"/>
      <c r="L525" s="173"/>
      <c r="M525" s="173"/>
      <c r="N525" s="173"/>
    </row>
    <row r="526" spans="1:14" ht="17.100000000000001" customHeight="1" x14ac:dyDescent="0.25">
      <c r="B526" s="34">
        <v>5</v>
      </c>
      <c r="C526" s="186" t="s">
        <v>188</v>
      </c>
      <c r="D526" s="173"/>
      <c r="E526" s="173"/>
      <c r="F526" s="173"/>
      <c r="G526" s="173"/>
      <c r="H526" s="173"/>
      <c r="I526" s="173"/>
      <c r="J526" s="173"/>
      <c r="K526" s="173"/>
      <c r="L526" s="173"/>
      <c r="M526" s="173"/>
      <c r="N526" s="173"/>
    </row>
    <row r="527" spans="1:14" ht="16.350000000000001" customHeight="1" x14ac:dyDescent="0.25">
      <c r="A527" s="176" t="s">
        <v>189</v>
      </c>
      <c r="B527" s="173"/>
      <c r="C527" s="173"/>
      <c r="D527" s="173"/>
      <c r="E527" s="173"/>
      <c r="F527" s="173"/>
      <c r="G527" s="173"/>
      <c r="H527" s="173"/>
      <c r="I527" s="173"/>
      <c r="J527" s="173"/>
      <c r="K527" s="173"/>
      <c r="L527" s="173"/>
      <c r="M527" s="173"/>
      <c r="N527" s="173"/>
    </row>
    <row r="528" spans="1:14" ht="8.1" customHeight="1" x14ac:dyDescent="0.25"/>
    <row r="529" spans="1:14" ht="15.6" customHeight="1" x14ac:dyDescent="0.25">
      <c r="A529" s="187" t="s">
        <v>69</v>
      </c>
      <c r="B529" s="173"/>
      <c r="C529" s="173"/>
      <c r="D529" s="173"/>
      <c r="E529" s="173"/>
      <c r="F529" s="173"/>
      <c r="G529" s="173"/>
      <c r="H529" s="173"/>
      <c r="I529" s="173"/>
      <c r="J529" s="173"/>
      <c r="K529" s="173"/>
      <c r="L529" s="173"/>
      <c r="M529" s="173"/>
      <c r="N529" s="173"/>
    </row>
  </sheetData>
  <sheetProtection sheet="1" formatCells="0" formatColumns="0" formatRows="0" insertRows="0" deleteRows="0"/>
  <autoFilter ref="B9:N499" xr:uid="{00000000-0009-0000-0000-000004000000}"/>
  <mergeCells count="48">
    <mergeCell ref="A1:N1"/>
    <mergeCell ref="D6:E6"/>
    <mergeCell ref="B512:C512"/>
    <mergeCell ref="B518:C518"/>
    <mergeCell ref="H6:I6"/>
    <mergeCell ref="B517:C517"/>
    <mergeCell ref="J6:K6"/>
    <mergeCell ref="A501:B501"/>
    <mergeCell ref="A507:N507"/>
    <mergeCell ref="B514:C514"/>
    <mergeCell ref="B8:C8"/>
    <mergeCell ref="A503:B503"/>
    <mergeCell ref="F8:G8"/>
    <mergeCell ref="A3:N3"/>
    <mergeCell ref="D7:E7"/>
    <mergeCell ref="D504:N504"/>
    <mergeCell ref="A2:N2"/>
    <mergeCell ref="J7:K7"/>
    <mergeCell ref="B515:C515"/>
    <mergeCell ref="B510:C510"/>
    <mergeCell ref="A5:N5"/>
    <mergeCell ref="A508:N508"/>
    <mergeCell ref="D8:E8"/>
    <mergeCell ref="B6:C6"/>
    <mergeCell ref="A504:B504"/>
    <mergeCell ref="L6:M6"/>
    <mergeCell ref="F6:G6"/>
    <mergeCell ref="B513:C513"/>
    <mergeCell ref="F7:G7"/>
    <mergeCell ref="H7:I7"/>
    <mergeCell ref="L7:M7"/>
    <mergeCell ref="B7:C7"/>
    <mergeCell ref="A529:N529"/>
    <mergeCell ref="B511:C511"/>
    <mergeCell ref="H8:I8"/>
    <mergeCell ref="J8:K8"/>
    <mergeCell ref="A500:N500"/>
    <mergeCell ref="A520:N520"/>
    <mergeCell ref="C522:N522"/>
    <mergeCell ref="A527:N527"/>
    <mergeCell ref="C523:N523"/>
    <mergeCell ref="C526:N526"/>
    <mergeCell ref="C524:N524"/>
    <mergeCell ref="C525:N525"/>
    <mergeCell ref="B516:C516"/>
    <mergeCell ref="A502:B502"/>
    <mergeCell ref="A521:N521"/>
    <mergeCell ref="L8:N8"/>
  </mergeCells>
  <conditionalFormatting sqref="B8:N8">
    <cfRule type="expression" dxfId="73" priority="12">
      <formula>$D$518="Tied out"</formula>
    </cfRule>
    <cfRule type="expression" dxfId="72" priority="13">
      <formula>$D$518&lt;&gt;"Tied out"</formula>
    </cfRule>
  </conditionalFormatting>
  <conditionalFormatting sqref="C504">
    <cfRule type="cellIs" dxfId="71" priority="7" operator="equal">
      <formula>"FULL - no more rows can be entered"</formula>
    </cfRule>
    <cfRule type="cellIs" dxfId="70" priority="8" operator="equal">
      <formula>"NEARLY FULL - contact Powell United"</formula>
    </cfRule>
    <cfRule type="cellIs" dxfId="69" priority="9" operator="equal">
      <formula>"OK"</formula>
    </cfRule>
  </conditionalFormatting>
  <conditionalFormatting sqref="D518">
    <cfRule type="cellIs" dxfId="68" priority="10" operator="equal">
      <formula>"Tied out"</formula>
    </cfRule>
    <cfRule type="cellIs" dxfId="67" priority="11" operator="equal">
      <formula>"CHECK IMPORT"</formula>
    </cfRule>
  </conditionalFormatting>
  <conditionalFormatting sqref="I10:I499">
    <cfRule type="expression" dxfId="66" priority="4">
      <formula>AND($I10&lt;&gt;"",$I10&lt;&gt;"No")</formula>
    </cfRule>
  </conditionalFormatting>
  <conditionalFormatting sqref="J10:J499">
    <cfRule type="expression" dxfId="65" priority="5">
      <formula>AND($J10&lt;&gt;"",$J10&lt;&gt;"No")</formula>
    </cfRule>
  </conditionalFormatting>
  <conditionalFormatting sqref="L10:L499">
    <cfRule type="expression" dxfId="64" priority="6">
      <formula>LEN($L10)&gt;0</formula>
    </cfRule>
  </conditionalFormatting>
  <conditionalFormatting sqref="M10:M499">
    <cfRule type="cellIs" dxfId="63" priority="1" operator="equal">
      <formula>"Yes"</formula>
    </cfRule>
    <cfRule type="cellIs" dxfId="62" priority="2" operator="equal">
      <formula>"NO"</formula>
    </cfRule>
    <cfRule type="cellIs" dxfId="61" priority="3" operator="equal">
      <formula>"POSTED"</formula>
    </cfRule>
  </conditionalFormatting>
  <dataValidations count="3">
    <dataValidation type="list" allowBlank="1" sqref="D7 D10:D499" xr:uid="{00000000-0002-0000-0400-000000000000}">
      <formula1>Acct_Name</formula1>
    </dataValidation>
    <dataValidation type="date" allowBlank="1" showErrorMessage="1" errorTitle="Enter a real date" error="Use a date, for example 03/14/2026." sqref="F7 C10:C499 H7" xr:uid="{00000000-0002-0000-0400-000001000000}">
      <formula1>DATE(2000,1,1)</formula1>
      <formula2>DATE(2100,12,31)</formula2>
    </dataValidation>
    <dataValidation type="decimal" operator="greaterThanOrEqual" allowBlank="1" showErrorMessage="1" errorTitle="Amount must be zero or positive" error="Enter a positive number. Money In and Money Out are separate columns, so amounts are never negative." sqref="F10:G499" xr:uid="{00000000-0002-0000-0400-000004000000}">
      <formula1>0</formula1>
    </dataValidation>
  </dataValidations>
  <pageMargins left="0.75" right="0.75" top="1" bottom="1" header="0.5" footer="0.5"/>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1:V1013"/>
  <sheetViews>
    <sheetView showGridLines="0" workbookViewId="0">
      <pane xSplit="4" ySplit="5" topLeftCell="E6" activePane="bottomRight" state="frozen"/>
      <selection pane="topRight"/>
      <selection pane="bottomLeft"/>
      <selection pane="bottomRight"/>
    </sheetView>
  </sheetViews>
  <sheetFormatPr defaultRowHeight="15" x14ac:dyDescent="0.25"/>
  <cols>
    <col min="1" max="2" width="11" customWidth="1"/>
    <col min="3" max="3" width="19" customWidth="1"/>
    <col min="4" max="4" width="44" customWidth="1"/>
    <col min="5" max="6" width="13" customWidth="1"/>
    <col min="7" max="7" width="7" customWidth="1"/>
    <col min="8" max="8" width="34" customWidth="1"/>
    <col min="9" max="9" width="32" customWidth="1"/>
    <col min="10" max="10" width="38" customWidth="1"/>
    <col min="11" max="11" width="22" customWidth="1"/>
    <col min="12" max="12" width="9" customWidth="1"/>
    <col min="13" max="14" width="13" customWidth="1"/>
    <col min="15" max="15" width="11" customWidth="1"/>
    <col min="16" max="16" width="12" customWidth="1"/>
    <col min="17" max="17" width="26" customWidth="1"/>
    <col min="20" max="20" width="46" customWidth="1"/>
    <col min="21" max="21" width="4" customWidth="1"/>
    <col min="22" max="22" width="46" customWidth="1"/>
  </cols>
  <sheetData>
    <row r="1" spans="1:22" ht="27.95" customHeight="1" x14ac:dyDescent="0.25">
      <c r="A1" s="174" t="s">
        <v>190</v>
      </c>
      <c r="B1" s="173"/>
      <c r="C1" s="173"/>
      <c r="D1" s="173"/>
      <c r="E1" s="173"/>
      <c r="F1" s="173"/>
      <c r="G1" s="173"/>
      <c r="H1" s="173"/>
      <c r="I1" s="173"/>
      <c r="J1" s="173"/>
      <c r="K1" s="173"/>
      <c r="L1" s="173"/>
      <c r="M1" s="173"/>
      <c r="N1" s="173"/>
      <c r="O1" s="173"/>
      <c r="P1" s="173"/>
      <c r="Q1" s="173"/>
    </row>
    <row r="2" spans="1:22" ht="17.100000000000001" customHeight="1" x14ac:dyDescent="0.25">
      <c r="A2" s="188" t="s">
        <v>191</v>
      </c>
      <c r="B2" s="173"/>
      <c r="C2" s="173"/>
      <c r="D2" s="173"/>
      <c r="E2" s="173"/>
      <c r="F2" s="173"/>
      <c r="G2" s="173"/>
      <c r="H2" s="173"/>
      <c r="I2" s="173"/>
      <c r="J2" s="173"/>
      <c r="K2" s="173"/>
      <c r="L2" s="173"/>
      <c r="M2" s="173"/>
      <c r="N2" s="173"/>
      <c r="O2" s="173"/>
      <c r="P2" s="173"/>
      <c r="Q2" s="173"/>
    </row>
    <row r="3" spans="1:22" ht="14.1" customHeight="1" x14ac:dyDescent="0.25">
      <c r="A3" s="179" t="s">
        <v>2</v>
      </c>
      <c r="B3" s="173"/>
      <c r="C3" s="173"/>
      <c r="D3" s="173"/>
      <c r="E3" s="173"/>
      <c r="F3" s="173"/>
      <c r="G3" s="173"/>
      <c r="H3" s="173"/>
      <c r="I3" s="173"/>
      <c r="J3" s="173"/>
      <c r="K3" s="173"/>
      <c r="L3" s="173"/>
      <c r="M3" s="173"/>
      <c r="N3" s="173"/>
      <c r="O3" s="173"/>
      <c r="P3" s="173"/>
      <c r="Q3" s="173"/>
    </row>
    <row r="4" spans="1:22" ht="15.6" customHeight="1" x14ac:dyDescent="0.25">
      <c r="A4" s="182" t="s">
        <v>192</v>
      </c>
      <c r="B4" s="173"/>
      <c r="C4" s="173"/>
      <c r="D4" s="173"/>
      <c r="E4" s="173"/>
      <c r="F4" s="173"/>
      <c r="G4" s="173"/>
      <c r="H4" s="173"/>
      <c r="I4" s="173"/>
      <c r="J4" s="173"/>
      <c r="K4" s="173"/>
      <c r="L4" s="173"/>
      <c r="M4" s="173"/>
      <c r="N4" s="173"/>
      <c r="O4" s="173"/>
      <c r="P4" s="173"/>
      <c r="Q4" s="173"/>
    </row>
    <row r="5" spans="1:22" ht="26.1" customHeight="1" x14ac:dyDescent="0.25">
      <c r="A5" s="27" t="s">
        <v>193</v>
      </c>
      <c r="B5" s="27" t="s">
        <v>159</v>
      </c>
      <c r="C5" s="27" t="s">
        <v>153</v>
      </c>
      <c r="D5" s="27" t="s">
        <v>194</v>
      </c>
      <c r="E5" s="27" t="s">
        <v>161</v>
      </c>
      <c r="F5" s="27" t="s">
        <v>162</v>
      </c>
      <c r="G5" s="27" t="s">
        <v>195</v>
      </c>
      <c r="H5" s="27" t="s">
        <v>196</v>
      </c>
      <c r="I5" s="27" t="s">
        <v>197</v>
      </c>
      <c r="J5" s="27" t="s">
        <v>198</v>
      </c>
      <c r="K5" s="27" t="s">
        <v>199</v>
      </c>
      <c r="L5" s="27" t="s">
        <v>200</v>
      </c>
      <c r="M5" s="27" t="s">
        <v>201</v>
      </c>
      <c r="N5" s="27" t="s">
        <v>202</v>
      </c>
      <c r="O5" s="27" t="s">
        <v>203</v>
      </c>
      <c r="P5" s="27" t="s">
        <v>204</v>
      </c>
      <c r="Q5" s="27" t="s">
        <v>205</v>
      </c>
      <c r="T5" s="27" t="s">
        <v>206</v>
      </c>
      <c r="U5" s="27" t="s">
        <v>207</v>
      </c>
      <c r="V5" s="27" t="s">
        <v>208</v>
      </c>
    </row>
    <row r="6" spans="1:22" ht="12.95" customHeight="1" x14ac:dyDescent="0.25">
      <c r="A6" s="52" t="str">
        <f t="shared" ref="A6:A69" si="0">IF($D6="","","TX-"&amp;TEXT(ROW()-5,"0000"))</f>
        <v/>
      </c>
      <c r="B6" s="37"/>
      <c r="C6" s="28"/>
      <c r="D6" s="35"/>
      <c r="E6" s="38"/>
      <c r="F6" s="38"/>
      <c r="G6" s="52" t="str">
        <f t="shared" ref="G6:G69" si="1">IF($D6="","",IFERROR(_xlfn.AGGREGATE(15,6,Rules_Pri/((ISNUMBER(SEARCH(Rules_Key,$D6)))*(Rules_Key&lt;&gt;"")*(Rules_Active="Yes")*((Rules_Dir="Any")+(Rules_Dir=IF(N($E6)&gt;0,"In","Out")))),1),""))</f>
        <v/>
      </c>
      <c r="H6" s="53" t="str">
        <f t="shared" ref="H6:H69" si="2">IF($D6="","",IF($G6="",IF(N($E6)&gt;0,"Uncategorized Deposit - NEEDS REVIEW","Uncategorized - NEEDS REVIEW"),INDEX(Rules_Cat,MATCH(1,INDEX(((ISNUMBER(SEARCH(Rules_Key,$D6)))*(Rules_Key&lt;&gt;"")*(Rules_Active="Yes")*((Rules_Dir="Any")+(Rules_Dir=IF(N($E6)&gt;0,"In","Out"))))*(Rules_Pri=$G6),0),0))))</f>
        <v/>
      </c>
      <c r="I6" s="40"/>
      <c r="J6" s="54" t="str">
        <f t="shared" ref="J6:J69" si="3">IF($D6="","",IF($I6&lt;&gt;"",$I6,$H6))</f>
        <v/>
      </c>
      <c r="K6" s="41" t="str">
        <f t="shared" ref="K6:K69" si="4">IF($J6="","",IFERROR(INDEX(Cat_Treatment,MATCH($J6,Cat_Name,0)),"Review Required"))</f>
        <v/>
      </c>
      <c r="L6" s="55"/>
      <c r="M6" s="56">
        <f t="shared" ref="M6:M69" si="5">IF($K6&lt;&gt;"Operating Expense",0,IF(AND($L6&lt;&gt;"",OR(N($L6)&lt;0,N($L6)&gt;1)),0,ROUND(N($F6)*IF($L6="",1,$L6),2)))</f>
        <v>0</v>
      </c>
      <c r="N6" s="56">
        <f t="shared" ref="N6:N69" si="6">IF($K6="Operating Revenue",ROUND(N($E6)-N($F6),2),0)</f>
        <v>0</v>
      </c>
      <c r="O6" s="57"/>
      <c r="P6" s="40"/>
      <c r="Q6" s="52" t="str">
        <f>IF($D6="","",IF($K6&lt;&gt;"Balance Sheet / Clearing","-",IF(SUMPRODUCT(--(LEFT('7. Settlements'!$J$8:$J$107,7)=$A6),--('7. Settlements'!$M$8:$M$107="Tied out"))+SUMPRODUCT(--(LEFT('8. Transfers'!$H$9:$H$108,7)=$A6),--('8. Transfers'!$J$9:$J$108="Matched"))+SUMPRODUCT(--(LEFT('8. Transfers'!$I$9:$I$108,7)=$A6),--('8. Transfers'!$J$9:$J$108="Matched"))+IF($O6="",0,COUNTIFS('9. Payroll Allocation'!$B$234:$B$253,$O6,'9. Payroll Allocation'!$H$234:$H$253,"Tied out"))&gt;0,"Linked","MISSING DETAIL")))</f>
        <v/>
      </c>
      <c r="T6" s="58" t="str">
        <f t="shared" ref="T6:T69" si="7">IF(OR($D6="",$K6&lt;&gt;"Balance Sheet / Clearing"),"",$A6&amp;" · "&amp;TEXT($B6,"mm/dd")&amp;" · "&amp;LEFT($D6,24)&amp;" · "&amp;TEXT(N($E6)+N($F6),"#,##0.00"))</f>
        <v/>
      </c>
      <c r="U6" s="59" t="str">
        <f>IF($T6="","",COUNTIF($T$6:$T6,"?*"))</f>
        <v/>
      </c>
      <c r="V6" s="58" t="str">
        <f t="shared" ref="V6:V69" si="8">IFERROR(INDEX($T$6:$T$1005,MATCH(ROW()-5,$U$6:$U$1005,0)),"")</f>
        <v/>
      </c>
    </row>
    <row r="7" spans="1:22" ht="12.95" customHeight="1" x14ac:dyDescent="0.25">
      <c r="A7" s="60" t="str">
        <f t="shared" si="0"/>
        <v/>
      </c>
      <c r="B7" s="37"/>
      <c r="C7" s="28"/>
      <c r="D7" s="35"/>
      <c r="E7" s="38"/>
      <c r="F7" s="38"/>
      <c r="G7" s="60" t="str">
        <f t="shared" si="1"/>
        <v/>
      </c>
      <c r="H7" s="61" t="str">
        <f t="shared" si="2"/>
        <v/>
      </c>
      <c r="I7" s="40"/>
      <c r="J7" s="62" t="str">
        <f t="shared" si="3"/>
        <v/>
      </c>
      <c r="K7" s="45" t="str">
        <f t="shared" si="4"/>
        <v/>
      </c>
      <c r="L7" s="55"/>
      <c r="M7" s="63">
        <f t="shared" si="5"/>
        <v>0</v>
      </c>
      <c r="N7" s="63">
        <f t="shared" si="6"/>
        <v>0</v>
      </c>
      <c r="O7" s="57"/>
      <c r="P7" s="40"/>
      <c r="Q7" s="60" t="str">
        <f>IF($D7="","",IF($K7&lt;&gt;"Balance Sheet / Clearing","-",IF(SUMPRODUCT(--(LEFT('7. Settlements'!$J$8:$J$107,7)=$A7),--('7. Settlements'!$M$8:$M$107="Tied out"))+SUMPRODUCT(--(LEFT('8. Transfers'!$H$9:$H$108,7)=$A7),--('8. Transfers'!$J$9:$J$108="Matched"))+SUMPRODUCT(--(LEFT('8. Transfers'!$I$9:$I$108,7)=$A7),--('8. Transfers'!$J$9:$J$108="Matched"))+IF($O7="",0,COUNTIFS('9. Payroll Allocation'!$B$234:$B$253,$O7,'9. Payroll Allocation'!$H$234:$H$253,"Tied out"))&gt;0,"Linked","MISSING DETAIL")))</f>
        <v/>
      </c>
      <c r="T7" s="58" t="str">
        <f t="shared" si="7"/>
        <v/>
      </c>
      <c r="U7" s="59" t="str">
        <f>IF($T7="","",COUNTIF($T$6:$T7,"?*"))</f>
        <v/>
      </c>
      <c r="V7" s="58" t="str">
        <f t="shared" si="8"/>
        <v/>
      </c>
    </row>
    <row r="8" spans="1:22" ht="12.95" customHeight="1" x14ac:dyDescent="0.25">
      <c r="A8" s="52" t="str">
        <f t="shared" si="0"/>
        <v/>
      </c>
      <c r="B8" s="37"/>
      <c r="C8" s="28"/>
      <c r="D8" s="35"/>
      <c r="E8" s="38"/>
      <c r="F8" s="38"/>
      <c r="G8" s="52" t="str">
        <f t="shared" si="1"/>
        <v/>
      </c>
      <c r="H8" s="53" t="str">
        <f t="shared" si="2"/>
        <v/>
      </c>
      <c r="I8" s="40"/>
      <c r="J8" s="54" t="str">
        <f t="shared" si="3"/>
        <v/>
      </c>
      <c r="K8" s="41" t="str">
        <f t="shared" si="4"/>
        <v/>
      </c>
      <c r="L8" s="55"/>
      <c r="M8" s="56">
        <f t="shared" si="5"/>
        <v>0</v>
      </c>
      <c r="N8" s="56">
        <f t="shared" si="6"/>
        <v>0</v>
      </c>
      <c r="O8" s="57"/>
      <c r="P8" s="40"/>
      <c r="Q8" s="52" t="str">
        <f>IF($D8="","",IF($K8&lt;&gt;"Balance Sheet / Clearing","-",IF(SUMPRODUCT(--(LEFT('7. Settlements'!$J$8:$J$107,7)=$A8),--('7. Settlements'!$M$8:$M$107="Tied out"))+SUMPRODUCT(--(LEFT('8. Transfers'!$H$9:$H$108,7)=$A8),--('8. Transfers'!$J$9:$J$108="Matched"))+SUMPRODUCT(--(LEFT('8. Transfers'!$I$9:$I$108,7)=$A8),--('8. Transfers'!$J$9:$J$108="Matched"))+IF($O8="",0,COUNTIFS('9. Payroll Allocation'!$B$234:$B$253,$O8,'9. Payroll Allocation'!$H$234:$H$253,"Tied out"))&gt;0,"Linked","MISSING DETAIL")))</f>
        <v/>
      </c>
      <c r="T8" s="58" t="str">
        <f t="shared" si="7"/>
        <v/>
      </c>
      <c r="U8" s="59" t="str">
        <f>IF($T8="","",COUNTIF($T$6:$T8,"?*"))</f>
        <v/>
      </c>
      <c r="V8" s="58" t="str">
        <f t="shared" si="8"/>
        <v/>
      </c>
    </row>
    <row r="9" spans="1:22" ht="12.95" customHeight="1" x14ac:dyDescent="0.25">
      <c r="A9" s="60" t="str">
        <f t="shared" si="0"/>
        <v/>
      </c>
      <c r="B9" s="37"/>
      <c r="C9" s="28"/>
      <c r="D9" s="35"/>
      <c r="E9" s="38"/>
      <c r="F9" s="38"/>
      <c r="G9" s="60" t="str">
        <f t="shared" si="1"/>
        <v/>
      </c>
      <c r="H9" s="61" t="str">
        <f t="shared" si="2"/>
        <v/>
      </c>
      <c r="I9" s="40"/>
      <c r="J9" s="62" t="str">
        <f t="shared" si="3"/>
        <v/>
      </c>
      <c r="K9" s="45" t="str">
        <f t="shared" si="4"/>
        <v/>
      </c>
      <c r="L9" s="55"/>
      <c r="M9" s="63">
        <f t="shared" si="5"/>
        <v>0</v>
      </c>
      <c r="N9" s="63">
        <f t="shared" si="6"/>
        <v>0</v>
      </c>
      <c r="O9" s="57"/>
      <c r="P9" s="40"/>
      <c r="Q9" s="60" t="str">
        <f>IF($D9="","",IF($K9&lt;&gt;"Balance Sheet / Clearing","-",IF(SUMPRODUCT(--(LEFT('7. Settlements'!$J$8:$J$107,7)=$A9),--('7. Settlements'!$M$8:$M$107="Tied out"))+SUMPRODUCT(--(LEFT('8. Transfers'!$H$9:$H$108,7)=$A9),--('8. Transfers'!$J$9:$J$108="Matched"))+SUMPRODUCT(--(LEFT('8. Transfers'!$I$9:$I$108,7)=$A9),--('8. Transfers'!$J$9:$J$108="Matched"))+IF($O9="",0,COUNTIFS('9. Payroll Allocation'!$B$234:$B$253,$O9,'9. Payroll Allocation'!$H$234:$H$253,"Tied out"))&gt;0,"Linked","MISSING DETAIL")))</f>
        <v/>
      </c>
      <c r="T9" s="58" t="str">
        <f t="shared" si="7"/>
        <v/>
      </c>
      <c r="U9" s="59" t="str">
        <f>IF($T9="","",COUNTIF($T$6:$T9,"?*"))</f>
        <v/>
      </c>
      <c r="V9" s="58" t="str">
        <f t="shared" si="8"/>
        <v/>
      </c>
    </row>
    <row r="10" spans="1:22" ht="12.95" customHeight="1" x14ac:dyDescent="0.25">
      <c r="A10" s="52" t="str">
        <f t="shared" si="0"/>
        <v/>
      </c>
      <c r="B10" s="37"/>
      <c r="C10" s="28"/>
      <c r="D10" s="35"/>
      <c r="E10" s="38"/>
      <c r="F10" s="38"/>
      <c r="G10" s="52" t="str">
        <f t="shared" si="1"/>
        <v/>
      </c>
      <c r="H10" s="53" t="str">
        <f t="shared" si="2"/>
        <v/>
      </c>
      <c r="I10" s="40"/>
      <c r="J10" s="54" t="str">
        <f t="shared" si="3"/>
        <v/>
      </c>
      <c r="K10" s="41" t="str">
        <f t="shared" si="4"/>
        <v/>
      </c>
      <c r="L10" s="55"/>
      <c r="M10" s="56">
        <f t="shared" si="5"/>
        <v>0</v>
      </c>
      <c r="N10" s="56">
        <f t="shared" si="6"/>
        <v>0</v>
      </c>
      <c r="O10" s="57"/>
      <c r="P10" s="40"/>
      <c r="Q10" s="52" t="str">
        <f>IF($D10="","",IF($K10&lt;&gt;"Balance Sheet / Clearing","-",IF(SUMPRODUCT(--(LEFT('7. Settlements'!$J$8:$J$107,7)=$A10),--('7. Settlements'!$M$8:$M$107="Tied out"))+SUMPRODUCT(--(LEFT('8. Transfers'!$H$9:$H$108,7)=$A10),--('8. Transfers'!$J$9:$J$108="Matched"))+SUMPRODUCT(--(LEFT('8. Transfers'!$I$9:$I$108,7)=$A10),--('8. Transfers'!$J$9:$J$108="Matched"))+IF($O10="",0,COUNTIFS('9. Payroll Allocation'!$B$234:$B$253,$O10,'9. Payroll Allocation'!$H$234:$H$253,"Tied out"))&gt;0,"Linked","MISSING DETAIL")))</f>
        <v/>
      </c>
      <c r="T10" s="58" t="str">
        <f t="shared" si="7"/>
        <v/>
      </c>
      <c r="U10" s="59" t="str">
        <f>IF($T10="","",COUNTIF($T$6:$T10,"?*"))</f>
        <v/>
      </c>
      <c r="V10" s="58" t="str">
        <f t="shared" si="8"/>
        <v/>
      </c>
    </row>
    <row r="11" spans="1:22" ht="12.95" customHeight="1" x14ac:dyDescent="0.25">
      <c r="A11" s="60" t="str">
        <f t="shared" si="0"/>
        <v/>
      </c>
      <c r="B11" s="37"/>
      <c r="C11" s="28"/>
      <c r="D11" s="35"/>
      <c r="E11" s="38"/>
      <c r="F11" s="38"/>
      <c r="G11" s="60" t="str">
        <f t="shared" si="1"/>
        <v/>
      </c>
      <c r="H11" s="61" t="str">
        <f t="shared" si="2"/>
        <v/>
      </c>
      <c r="I11" s="40"/>
      <c r="J11" s="62" t="str">
        <f t="shared" si="3"/>
        <v/>
      </c>
      <c r="K11" s="45" t="str">
        <f t="shared" si="4"/>
        <v/>
      </c>
      <c r="L11" s="55"/>
      <c r="M11" s="63">
        <f t="shared" si="5"/>
        <v>0</v>
      </c>
      <c r="N11" s="63">
        <f t="shared" si="6"/>
        <v>0</v>
      </c>
      <c r="O11" s="57"/>
      <c r="P11" s="40"/>
      <c r="Q11" s="60" t="str">
        <f>IF($D11="","",IF($K11&lt;&gt;"Balance Sheet / Clearing","-",IF(SUMPRODUCT(--(LEFT('7. Settlements'!$J$8:$J$107,7)=$A11),--('7. Settlements'!$M$8:$M$107="Tied out"))+SUMPRODUCT(--(LEFT('8. Transfers'!$H$9:$H$108,7)=$A11),--('8. Transfers'!$J$9:$J$108="Matched"))+SUMPRODUCT(--(LEFT('8. Transfers'!$I$9:$I$108,7)=$A11),--('8. Transfers'!$J$9:$J$108="Matched"))+IF($O11="",0,COUNTIFS('9. Payroll Allocation'!$B$234:$B$253,$O11,'9. Payroll Allocation'!$H$234:$H$253,"Tied out"))&gt;0,"Linked","MISSING DETAIL")))</f>
        <v/>
      </c>
      <c r="T11" s="58" t="str">
        <f t="shared" si="7"/>
        <v/>
      </c>
      <c r="U11" s="59" t="str">
        <f>IF($T11="","",COUNTIF($T$6:$T11,"?*"))</f>
        <v/>
      </c>
      <c r="V11" s="58" t="str">
        <f t="shared" si="8"/>
        <v/>
      </c>
    </row>
    <row r="12" spans="1:22" ht="12.95" customHeight="1" x14ac:dyDescent="0.25">
      <c r="A12" s="52" t="str">
        <f t="shared" si="0"/>
        <v/>
      </c>
      <c r="B12" s="37"/>
      <c r="C12" s="28"/>
      <c r="D12" s="35"/>
      <c r="E12" s="38"/>
      <c r="F12" s="38"/>
      <c r="G12" s="52" t="str">
        <f t="shared" si="1"/>
        <v/>
      </c>
      <c r="H12" s="53" t="str">
        <f t="shared" si="2"/>
        <v/>
      </c>
      <c r="I12" s="40"/>
      <c r="J12" s="54" t="str">
        <f t="shared" si="3"/>
        <v/>
      </c>
      <c r="K12" s="41" t="str">
        <f t="shared" si="4"/>
        <v/>
      </c>
      <c r="L12" s="55"/>
      <c r="M12" s="56">
        <f t="shared" si="5"/>
        <v>0</v>
      </c>
      <c r="N12" s="56">
        <f t="shared" si="6"/>
        <v>0</v>
      </c>
      <c r="O12" s="57"/>
      <c r="P12" s="40"/>
      <c r="Q12" s="52" t="str">
        <f>IF($D12="","",IF($K12&lt;&gt;"Balance Sheet / Clearing","-",IF(SUMPRODUCT(--(LEFT('7. Settlements'!$J$8:$J$107,7)=$A12),--('7. Settlements'!$M$8:$M$107="Tied out"))+SUMPRODUCT(--(LEFT('8. Transfers'!$H$9:$H$108,7)=$A12),--('8. Transfers'!$J$9:$J$108="Matched"))+SUMPRODUCT(--(LEFT('8. Transfers'!$I$9:$I$108,7)=$A12),--('8. Transfers'!$J$9:$J$108="Matched"))+IF($O12="",0,COUNTIFS('9. Payroll Allocation'!$B$234:$B$253,$O12,'9. Payroll Allocation'!$H$234:$H$253,"Tied out"))&gt;0,"Linked","MISSING DETAIL")))</f>
        <v/>
      </c>
      <c r="T12" s="58" t="str">
        <f t="shared" si="7"/>
        <v/>
      </c>
      <c r="U12" s="59" t="str">
        <f>IF($T12="","",COUNTIF($T$6:$T12,"?*"))</f>
        <v/>
      </c>
      <c r="V12" s="58" t="str">
        <f t="shared" si="8"/>
        <v/>
      </c>
    </row>
    <row r="13" spans="1:22" ht="12.95" customHeight="1" x14ac:dyDescent="0.25">
      <c r="A13" s="60" t="str">
        <f t="shared" si="0"/>
        <v/>
      </c>
      <c r="B13" s="37"/>
      <c r="C13" s="28"/>
      <c r="D13" s="35"/>
      <c r="E13" s="38"/>
      <c r="F13" s="38"/>
      <c r="G13" s="60" t="str">
        <f t="shared" si="1"/>
        <v/>
      </c>
      <c r="H13" s="61" t="str">
        <f t="shared" si="2"/>
        <v/>
      </c>
      <c r="I13" s="40"/>
      <c r="J13" s="62" t="str">
        <f t="shared" si="3"/>
        <v/>
      </c>
      <c r="K13" s="45" t="str">
        <f t="shared" si="4"/>
        <v/>
      </c>
      <c r="L13" s="55"/>
      <c r="M13" s="63">
        <f t="shared" si="5"/>
        <v>0</v>
      </c>
      <c r="N13" s="63">
        <f t="shared" si="6"/>
        <v>0</v>
      </c>
      <c r="O13" s="57"/>
      <c r="P13" s="40"/>
      <c r="Q13" s="60" t="str">
        <f>IF($D13="","",IF($K13&lt;&gt;"Balance Sheet / Clearing","-",IF(SUMPRODUCT(--(LEFT('7. Settlements'!$J$8:$J$107,7)=$A13),--('7. Settlements'!$M$8:$M$107="Tied out"))+SUMPRODUCT(--(LEFT('8. Transfers'!$H$9:$H$108,7)=$A13),--('8. Transfers'!$J$9:$J$108="Matched"))+SUMPRODUCT(--(LEFT('8. Transfers'!$I$9:$I$108,7)=$A13),--('8. Transfers'!$J$9:$J$108="Matched"))+IF($O13="",0,COUNTIFS('9. Payroll Allocation'!$B$234:$B$253,$O13,'9. Payroll Allocation'!$H$234:$H$253,"Tied out"))&gt;0,"Linked","MISSING DETAIL")))</f>
        <v/>
      </c>
      <c r="T13" s="58" t="str">
        <f t="shared" si="7"/>
        <v/>
      </c>
      <c r="U13" s="59" t="str">
        <f>IF($T13="","",COUNTIF($T$6:$T13,"?*"))</f>
        <v/>
      </c>
      <c r="V13" s="58" t="str">
        <f t="shared" si="8"/>
        <v/>
      </c>
    </row>
    <row r="14" spans="1:22" ht="12.95" customHeight="1" x14ac:dyDescent="0.25">
      <c r="A14" s="52" t="str">
        <f t="shared" si="0"/>
        <v/>
      </c>
      <c r="B14" s="37"/>
      <c r="C14" s="28"/>
      <c r="D14" s="35"/>
      <c r="E14" s="38"/>
      <c r="F14" s="38"/>
      <c r="G14" s="52" t="str">
        <f t="shared" si="1"/>
        <v/>
      </c>
      <c r="H14" s="53" t="str">
        <f t="shared" si="2"/>
        <v/>
      </c>
      <c r="I14" s="40"/>
      <c r="J14" s="54" t="str">
        <f t="shared" si="3"/>
        <v/>
      </c>
      <c r="K14" s="41" t="str">
        <f t="shared" si="4"/>
        <v/>
      </c>
      <c r="L14" s="55"/>
      <c r="M14" s="56">
        <f t="shared" si="5"/>
        <v>0</v>
      </c>
      <c r="N14" s="56">
        <f t="shared" si="6"/>
        <v>0</v>
      </c>
      <c r="O14" s="57"/>
      <c r="P14" s="40"/>
      <c r="Q14" s="52" t="str">
        <f>IF($D14="","",IF($K14&lt;&gt;"Balance Sheet / Clearing","-",IF(SUMPRODUCT(--(LEFT('7. Settlements'!$J$8:$J$107,7)=$A14),--('7. Settlements'!$M$8:$M$107="Tied out"))+SUMPRODUCT(--(LEFT('8. Transfers'!$H$9:$H$108,7)=$A14),--('8. Transfers'!$J$9:$J$108="Matched"))+SUMPRODUCT(--(LEFT('8. Transfers'!$I$9:$I$108,7)=$A14),--('8. Transfers'!$J$9:$J$108="Matched"))+IF($O14="",0,COUNTIFS('9. Payroll Allocation'!$B$234:$B$253,$O14,'9. Payroll Allocation'!$H$234:$H$253,"Tied out"))&gt;0,"Linked","MISSING DETAIL")))</f>
        <v/>
      </c>
      <c r="T14" s="58" t="str">
        <f t="shared" si="7"/>
        <v/>
      </c>
      <c r="U14" s="59" t="str">
        <f>IF($T14="","",COUNTIF($T$6:$T14,"?*"))</f>
        <v/>
      </c>
      <c r="V14" s="58" t="str">
        <f t="shared" si="8"/>
        <v/>
      </c>
    </row>
    <row r="15" spans="1:22" ht="12.95" customHeight="1" x14ac:dyDescent="0.25">
      <c r="A15" s="60" t="str">
        <f t="shared" si="0"/>
        <v/>
      </c>
      <c r="B15" s="37"/>
      <c r="C15" s="28"/>
      <c r="D15" s="35"/>
      <c r="E15" s="38"/>
      <c r="F15" s="38"/>
      <c r="G15" s="60" t="str">
        <f t="shared" si="1"/>
        <v/>
      </c>
      <c r="H15" s="61" t="str">
        <f t="shared" si="2"/>
        <v/>
      </c>
      <c r="I15" s="40"/>
      <c r="J15" s="62" t="str">
        <f t="shared" si="3"/>
        <v/>
      </c>
      <c r="K15" s="45" t="str">
        <f t="shared" si="4"/>
        <v/>
      </c>
      <c r="L15" s="55"/>
      <c r="M15" s="63">
        <f t="shared" si="5"/>
        <v>0</v>
      </c>
      <c r="N15" s="63">
        <f t="shared" si="6"/>
        <v>0</v>
      </c>
      <c r="O15" s="57"/>
      <c r="P15" s="40"/>
      <c r="Q15" s="60" t="str">
        <f>IF($D15="","",IF($K15&lt;&gt;"Balance Sheet / Clearing","-",IF(SUMPRODUCT(--(LEFT('7. Settlements'!$J$8:$J$107,7)=$A15),--('7. Settlements'!$M$8:$M$107="Tied out"))+SUMPRODUCT(--(LEFT('8. Transfers'!$H$9:$H$108,7)=$A15),--('8. Transfers'!$J$9:$J$108="Matched"))+SUMPRODUCT(--(LEFT('8. Transfers'!$I$9:$I$108,7)=$A15),--('8. Transfers'!$J$9:$J$108="Matched"))+IF($O15="",0,COUNTIFS('9. Payroll Allocation'!$B$234:$B$253,$O15,'9. Payroll Allocation'!$H$234:$H$253,"Tied out"))&gt;0,"Linked","MISSING DETAIL")))</f>
        <v/>
      </c>
      <c r="T15" s="58" t="str">
        <f t="shared" si="7"/>
        <v/>
      </c>
      <c r="U15" s="59" t="str">
        <f>IF($T15="","",COUNTIF($T$6:$T15,"?*"))</f>
        <v/>
      </c>
      <c r="V15" s="58" t="str">
        <f t="shared" si="8"/>
        <v/>
      </c>
    </row>
    <row r="16" spans="1:22" ht="12.95" customHeight="1" x14ac:dyDescent="0.25">
      <c r="A16" s="52" t="str">
        <f t="shared" si="0"/>
        <v/>
      </c>
      <c r="B16" s="37"/>
      <c r="C16" s="28"/>
      <c r="D16" s="35"/>
      <c r="E16" s="38"/>
      <c r="F16" s="38"/>
      <c r="G16" s="52" t="str">
        <f t="shared" si="1"/>
        <v/>
      </c>
      <c r="H16" s="53" t="str">
        <f t="shared" si="2"/>
        <v/>
      </c>
      <c r="I16" s="40"/>
      <c r="J16" s="54" t="str">
        <f t="shared" si="3"/>
        <v/>
      </c>
      <c r="K16" s="41" t="str">
        <f t="shared" si="4"/>
        <v/>
      </c>
      <c r="L16" s="55"/>
      <c r="M16" s="56">
        <f t="shared" si="5"/>
        <v>0</v>
      </c>
      <c r="N16" s="56">
        <f t="shared" si="6"/>
        <v>0</v>
      </c>
      <c r="O16" s="57"/>
      <c r="P16" s="40"/>
      <c r="Q16" s="52" t="str">
        <f>IF($D16="","",IF($K16&lt;&gt;"Balance Sheet / Clearing","-",IF(SUMPRODUCT(--(LEFT('7. Settlements'!$J$8:$J$107,7)=$A16),--('7. Settlements'!$M$8:$M$107="Tied out"))+SUMPRODUCT(--(LEFT('8. Transfers'!$H$9:$H$108,7)=$A16),--('8. Transfers'!$J$9:$J$108="Matched"))+SUMPRODUCT(--(LEFT('8. Transfers'!$I$9:$I$108,7)=$A16),--('8. Transfers'!$J$9:$J$108="Matched"))+IF($O16="",0,COUNTIFS('9. Payroll Allocation'!$B$234:$B$253,$O16,'9. Payroll Allocation'!$H$234:$H$253,"Tied out"))&gt;0,"Linked","MISSING DETAIL")))</f>
        <v/>
      </c>
      <c r="T16" s="58" t="str">
        <f t="shared" si="7"/>
        <v/>
      </c>
      <c r="U16" s="59" t="str">
        <f>IF($T16="","",COUNTIF($T$6:$T16,"?*"))</f>
        <v/>
      </c>
      <c r="V16" s="58" t="str">
        <f t="shared" si="8"/>
        <v/>
      </c>
    </row>
    <row r="17" spans="1:22" ht="12.95" customHeight="1" x14ac:dyDescent="0.25">
      <c r="A17" s="60" t="str">
        <f t="shared" si="0"/>
        <v/>
      </c>
      <c r="B17" s="37"/>
      <c r="C17" s="28"/>
      <c r="D17" s="35"/>
      <c r="E17" s="38"/>
      <c r="F17" s="38"/>
      <c r="G17" s="60" t="str">
        <f t="shared" si="1"/>
        <v/>
      </c>
      <c r="H17" s="61" t="str">
        <f t="shared" si="2"/>
        <v/>
      </c>
      <c r="I17" s="40"/>
      <c r="J17" s="62" t="str">
        <f t="shared" si="3"/>
        <v/>
      </c>
      <c r="K17" s="45" t="str">
        <f t="shared" si="4"/>
        <v/>
      </c>
      <c r="L17" s="55"/>
      <c r="M17" s="63">
        <f t="shared" si="5"/>
        <v>0</v>
      </c>
      <c r="N17" s="63">
        <f t="shared" si="6"/>
        <v>0</v>
      </c>
      <c r="O17" s="57"/>
      <c r="P17" s="40"/>
      <c r="Q17" s="60" t="str">
        <f>IF($D17="","",IF($K17&lt;&gt;"Balance Sheet / Clearing","-",IF(SUMPRODUCT(--(LEFT('7. Settlements'!$J$8:$J$107,7)=$A17),--('7. Settlements'!$M$8:$M$107="Tied out"))+SUMPRODUCT(--(LEFT('8. Transfers'!$H$9:$H$108,7)=$A17),--('8. Transfers'!$J$9:$J$108="Matched"))+SUMPRODUCT(--(LEFT('8. Transfers'!$I$9:$I$108,7)=$A17),--('8. Transfers'!$J$9:$J$108="Matched"))+IF($O17="",0,COUNTIFS('9. Payroll Allocation'!$B$234:$B$253,$O17,'9. Payroll Allocation'!$H$234:$H$253,"Tied out"))&gt;0,"Linked","MISSING DETAIL")))</f>
        <v/>
      </c>
      <c r="T17" s="58" t="str">
        <f t="shared" si="7"/>
        <v/>
      </c>
      <c r="U17" s="59" t="str">
        <f>IF($T17="","",COUNTIF($T$6:$T17,"?*"))</f>
        <v/>
      </c>
      <c r="V17" s="58" t="str">
        <f t="shared" si="8"/>
        <v/>
      </c>
    </row>
    <row r="18" spans="1:22" ht="12.95" customHeight="1" x14ac:dyDescent="0.25">
      <c r="A18" s="52" t="str">
        <f t="shared" si="0"/>
        <v/>
      </c>
      <c r="B18" s="37"/>
      <c r="C18" s="28"/>
      <c r="D18" s="35"/>
      <c r="E18" s="38"/>
      <c r="F18" s="38"/>
      <c r="G18" s="52" t="str">
        <f t="shared" si="1"/>
        <v/>
      </c>
      <c r="H18" s="53" t="str">
        <f t="shared" si="2"/>
        <v/>
      </c>
      <c r="I18" s="40"/>
      <c r="J18" s="54" t="str">
        <f t="shared" si="3"/>
        <v/>
      </c>
      <c r="K18" s="41" t="str">
        <f t="shared" si="4"/>
        <v/>
      </c>
      <c r="L18" s="55"/>
      <c r="M18" s="56">
        <f t="shared" si="5"/>
        <v>0</v>
      </c>
      <c r="N18" s="56">
        <f t="shared" si="6"/>
        <v>0</v>
      </c>
      <c r="O18" s="57"/>
      <c r="P18" s="40"/>
      <c r="Q18" s="52" t="str">
        <f>IF($D18="","",IF($K18&lt;&gt;"Balance Sheet / Clearing","-",IF(SUMPRODUCT(--(LEFT('7. Settlements'!$J$8:$J$107,7)=$A18),--('7. Settlements'!$M$8:$M$107="Tied out"))+SUMPRODUCT(--(LEFT('8. Transfers'!$H$9:$H$108,7)=$A18),--('8. Transfers'!$J$9:$J$108="Matched"))+SUMPRODUCT(--(LEFT('8. Transfers'!$I$9:$I$108,7)=$A18),--('8. Transfers'!$J$9:$J$108="Matched"))+IF($O18="",0,COUNTIFS('9. Payroll Allocation'!$B$234:$B$253,$O18,'9. Payroll Allocation'!$H$234:$H$253,"Tied out"))&gt;0,"Linked","MISSING DETAIL")))</f>
        <v/>
      </c>
      <c r="T18" s="58" t="str">
        <f t="shared" si="7"/>
        <v/>
      </c>
      <c r="U18" s="59" t="str">
        <f>IF($T18="","",COUNTIF($T$6:$T18,"?*"))</f>
        <v/>
      </c>
      <c r="V18" s="58" t="str">
        <f t="shared" si="8"/>
        <v/>
      </c>
    </row>
    <row r="19" spans="1:22" ht="12.95" customHeight="1" x14ac:dyDescent="0.25">
      <c r="A19" s="60" t="str">
        <f t="shared" si="0"/>
        <v/>
      </c>
      <c r="B19" s="37"/>
      <c r="C19" s="28"/>
      <c r="D19" s="35"/>
      <c r="E19" s="38"/>
      <c r="F19" s="38"/>
      <c r="G19" s="60" t="str">
        <f t="shared" si="1"/>
        <v/>
      </c>
      <c r="H19" s="61" t="str">
        <f t="shared" si="2"/>
        <v/>
      </c>
      <c r="I19" s="40"/>
      <c r="J19" s="62" t="str">
        <f t="shared" si="3"/>
        <v/>
      </c>
      <c r="K19" s="45" t="str">
        <f t="shared" si="4"/>
        <v/>
      </c>
      <c r="L19" s="55"/>
      <c r="M19" s="63">
        <f t="shared" si="5"/>
        <v>0</v>
      </c>
      <c r="N19" s="63">
        <f t="shared" si="6"/>
        <v>0</v>
      </c>
      <c r="O19" s="57"/>
      <c r="P19" s="40"/>
      <c r="Q19" s="60" t="str">
        <f>IF($D19="","",IF($K19&lt;&gt;"Balance Sheet / Clearing","-",IF(SUMPRODUCT(--(LEFT('7. Settlements'!$J$8:$J$107,7)=$A19),--('7. Settlements'!$M$8:$M$107="Tied out"))+SUMPRODUCT(--(LEFT('8. Transfers'!$H$9:$H$108,7)=$A19),--('8. Transfers'!$J$9:$J$108="Matched"))+SUMPRODUCT(--(LEFT('8. Transfers'!$I$9:$I$108,7)=$A19),--('8. Transfers'!$J$9:$J$108="Matched"))+IF($O19="",0,COUNTIFS('9. Payroll Allocation'!$B$234:$B$253,$O19,'9. Payroll Allocation'!$H$234:$H$253,"Tied out"))&gt;0,"Linked","MISSING DETAIL")))</f>
        <v/>
      </c>
      <c r="T19" s="58" t="str">
        <f t="shared" si="7"/>
        <v/>
      </c>
      <c r="U19" s="59" t="str">
        <f>IF($T19="","",COUNTIF($T$6:$T19,"?*"))</f>
        <v/>
      </c>
      <c r="V19" s="58" t="str">
        <f t="shared" si="8"/>
        <v/>
      </c>
    </row>
    <row r="20" spans="1:22" ht="12.95" customHeight="1" x14ac:dyDescent="0.25">
      <c r="A20" s="52" t="str">
        <f t="shared" si="0"/>
        <v/>
      </c>
      <c r="B20" s="37"/>
      <c r="C20" s="28"/>
      <c r="D20" s="35"/>
      <c r="E20" s="38"/>
      <c r="F20" s="38"/>
      <c r="G20" s="52" t="str">
        <f t="shared" si="1"/>
        <v/>
      </c>
      <c r="H20" s="53" t="str">
        <f t="shared" si="2"/>
        <v/>
      </c>
      <c r="I20" s="40"/>
      <c r="J20" s="54" t="str">
        <f t="shared" si="3"/>
        <v/>
      </c>
      <c r="K20" s="41" t="str">
        <f t="shared" si="4"/>
        <v/>
      </c>
      <c r="L20" s="55"/>
      <c r="M20" s="56">
        <f t="shared" si="5"/>
        <v>0</v>
      </c>
      <c r="N20" s="56">
        <f t="shared" si="6"/>
        <v>0</v>
      </c>
      <c r="O20" s="57"/>
      <c r="P20" s="40"/>
      <c r="Q20" s="52" t="str">
        <f>IF($D20="","",IF($K20&lt;&gt;"Balance Sheet / Clearing","-",IF(SUMPRODUCT(--(LEFT('7. Settlements'!$J$8:$J$107,7)=$A20),--('7. Settlements'!$M$8:$M$107="Tied out"))+SUMPRODUCT(--(LEFT('8. Transfers'!$H$9:$H$108,7)=$A20),--('8. Transfers'!$J$9:$J$108="Matched"))+SUMPRODUCT(--(LEFT('8. Transfers'!$I$9:$I$108,7)=$A20),--('8. Transfers'!$J$9:$J$108="Matched"))+IF($O20="",0,COUNTIFS('9. Payroll Allocation'!$B$234:$B$253,$O20,'9. Payroll Allocation'!$H$234:$H$253,"Tied out"))&gt;0,"Linked","MISSING DETAIL")))</f>
        <v/>
      </c>
      <c r="T20" s="58" t="str">
        <f t="shared" si="7"/>
        <v/>
      </c>
      <c r="U20" s="59" t="str">
        <f>IF($T20="","",COUNTIF($T$6:$T20,"?*"))</f>
        <v/>
      </c>
      <c r="V20" s="58" t="str">
        <f t="shared" si="8"/>
        <v/>
      </c>
    </row>
    <row r="21" spans="1:22" ht="12.95" customHeight="1" x14ac:dyDescent="0.25">
      <c r="A21" s="60" t="str">
        <f t="shared" si="0"/>
        <v/>
      </c>
      <c r="B21" s="37"/>
      <c r="C21" s="28"/>
      <c r="D21" s="35"/>
      <c r="E21" s="38"/>
      <c r="F21" s="38"/>
      <c r="G21" s="60" t="str">
        <f t="shared" si="1"/>
        <v/>
      </c>
      <c r="H21" s="61" t="str">
        <f t="shared" si="2"/>
        <v/>
      </c>
      <c r="I21" s="40"/>
      <c r="J21" s="62" t="str">
        <f t="shared" si="3"/>
        <v/>
      </c>
      <c r="K21" s="45" t="str">
        <f t="shared" si="4"/>
        <v/>
      </c>
      <c r="L21" s="55"/>
      <c r="M21" s="63">
        <f t="shared" si="5"/>
        <v>0</v>
      </c>
      <c r="N21" s="63">
        <f t="shared" si="6"/>
        <v>0</v>
      </c>
      <c r="O21" s="57"/>
      <c r="P21" s="40"/>
      <c r="Q21" s="60" t="str">
        <f>IF($D21="","",IF($K21&lt;&gt;"Balance Sheet / Clearing","-",IF(SUMPRODUCT(--(LEFT('7. Settlements'!$J$8:$J$107,7)=$A21),--('7. Settlements'!$M$8:$M$107="Tied out"))+SUMPRODUCT(--(LEFT('8. Transfers'!$H$9:$H$108,7)=$A21),--('8. Transfers'!$J$9:$J$108="Matched"))+SUMPRODUCT(--(LEFT('8. Transfers'!$I$9:$I$108,7)=$A21),--('8. Transfers'!$J$9:$J$108="Matched"))+IF($O21="",0,COUNTIFS('9. Payroll Allocation'!$B$234:$B$253,$O21,'9. Payroll Allocation'!$H$234:$H$253,"Tied out"))&gt;0,"Linked","MISSING DETAIL")))</f>
        <v/>
      </c>
      <c r="T21" s="58" t="str">
        <f t="shared" si="7"/>
        <v/>
      </c>
      <c r="U21" s="59" t="str">
        <f>IF($T21="","",COUNTIF($T$6:$T21,"?*"))</f>
        <v/>
      </c>
      <c r="V21" s="58" t="str">
        <f t="shared" si="8"/>
        <v/>
      </c>
    </row>
    <row r="22" spans="1:22" ht="12.95" customHeight="1" x14ac:dyDescent="0.25">
      <c r="A22" s="52" t="str">
        <f t="shared" si="0"/>
        <v/>
      </c>
      <c r="B22" s="37"/>
      <c r="C22" s="28"/>
      <c r="D22" s="35"/>
      <c r="E22" s="38"/>
      <c r="F22" s="38"/>
      <c r="G22" s="52" t="str">
        <f t="shared" si="1"/>
        <v/>
      </c>
      <c r="H22" s="53" t="str">
        <f t="shared" si="2"/>
        <v/>
      </c>
      <c r="I22" s="40"/>
      <c r="J22" s="54" t="str">
        <f t="shared" si="3"/>
        <v/>
      </c>
      <c r="K22" s="41" t="str">
        <f t="shared" si="4"/>
        <v/>
      </c>
      <c r="L22" s="55"/>
      <c r="M22" s="56">
        <f t="shared" si="5"/>
        <v>0</v>
      </c>
      <c r="N22" s="56">
        <f t="shared" si="6"/>
        <v>0</v>
      </c>
      <c r="O22" s="57"/>
      <c r="P22" s="40"/>
      <c r="Q22" s="52" t="str">
        <f>IF($D22="","",IF($K22&lt;&gt;"Balance Sheet / Clearing","-",IF(SUMPRODUCT(--(LEFT('7. Settlements'!$J$8:$J$107,7)=$A22),--('7. Settlements'!$M$8:$M$107="Tied out"))+SUMPRODUCT(--(LEFT('8. Transfers'!$H$9:$H$108,7)=$A22),--('8. Transfers'!$J$9:$J$108="Matched"))+SUMPRODUCT(--(LEFT('8. Transfers'!$I$9:$I$108,7)=$A22),--('8. Transfers'!$J$9:$J$108="Matched"))+IF($O22="",0,COUNTIFS('9. Payroll Allocation'!$B$234:$B$253,$O22,'9. Payroll Allocation'!$H$234:$H$253,"Tied out"))&gt;0,"Linked","MISSING DETAIL")))</f>
        <v/>
      </c>
      <c r="T22" s="58" t="str">
        <f t="shared" si="7"/>
        <v/>
      </c>
      <c r="U22" s="59" t="str">
        <f>IF($T22="","",COUNTIF($T$6:$T22,"?*"))</f>
        <v/>
      </c>
      <c r="V22" s="58" t="str">
        <f t="shared" si="8"/>
        <v/>
      </c>
    </row>
    <row r="23" spans="1:22" ht="12.95" customHeight="1" x14ac:dyDescent="0.25">
      <c r="A23" s="60" t="str">
        <f t="shared" si="0"/>
        <v/>
      </c>
      <c r="B23" s="37"/>
      <c r="C23" s="28"/>
      <c r="D23" s="35"/>
      <c r="E23" s="38"/>
      <c r="F23" s="38"/>
      <c r="G23" s="60" t="str">
        <f t="shared" si="1"/>
        <v/>
      </c>
      <c r="H23" s="61" t="str">
        <f t="shared" si="2"/>
        <v/>
      </c>
      <c r="I23" s="40"/>
      <c r="J23" s="62" t="str">
        <f t="shared" si="3"/>
        <v/>
      </c>
      <c r="K23" s="45" t="str">
        <f t="shared" si="4"/>
        <v/>
      </c>
      <c r="L23" s="55"/>
      <c r="M23" s="63">
        <f t="shared" si="5"/>
        <v>0</v>
      </c>
      <c r="N23" s="63">
        <f t="shared" si="6"/>
        <v>0</v>
      </c>
      <c r="O23" s="57"/>
      <c r="P23" s="40"/>
      <c r="Q23" s="60" t="str">
        <f>IF($D23="","",IF($K23&lt;&gt;"Balance Sheet / Clearing","-",IF(SUMPRODUCT(--(LEFT('7. Settlements'!$J$8:$J$107,7)=$A23),--('7. Settlements'!$M$8:$M$107="Tied out"))+SUMPRODUCT(--(LEFT('8. Transfers'!$H$9:$H$108,7)=$A23),--('8. Transfers'!$J$9:$J$108="Matched"))+SUMPRODUCT(--(LEFT('8. Transfers'!$I$9:$I$108,7)=$A23),--('8. Transfers'!$J$9:$J$108="Matched"))+IF($O23="",0,COUNTIFS('9. Payroll Allocation'!$B$234:$B$253,$O23,'9. Payroll Allocation'!$H$234:$H$253,"Tied out"))&gt;0,"Linked","MISSING DETAIL")))</f>
        <v/>
      </c>
      <c r="T23" s="58" t="str">
        <f t="shared" si="7"/>
        <v/>
      </c>
      <c r="U23" s="59" t="str">
        <f>IF($T23="","",COUNTIF($T$6:$T23,"?*"))</f>
        <v/>
      </c>
      <c r="V23" s="58" t="str">
        <f t="shared" si="8"/>
        <v/>
      </c>
    </row>
    <row r="24" spans="1:22" ht="12.95" customHeight="1" x14ac:dyDescent="0.25">
      <c r="A24" s="52" t="str">
        <f t="shared" si="0"/>
        <v/>
      </c>
      <c r="B24" s="37"/>
      <c r="C24" s="28"/>
      <c r="D24" s="35"/>
      <c r="E24" s="38"/>
      <c r="F24" s="38"/>
      <c r="G24" s="52" t="str">
        <f t="shared" si="1"/>
        <v/>
      </c>
      <c r="H24" s="53" t="str">
        <f t="shared" si="2"/>
        <v/>
      </c>
      <c r="I24" s="40"/>
      <c r="J24" s="54" t="str">
        <f t="shared" si="3"/>
        <v/>
      </c>
      <c r="K24" s="41" t="str">
        <f t="shared" si="4"/>
        <v/>
      </c>
      <c r="L24" s="55"/>
      <c r="M24" s="56">
        <f t="shared" si="5"/>
        <v>0</v>
      </c>
      <c r="N24" s="56">
        <f t="shared" si="6"/>
        <v>0</v>
      </c>
      <c r="O24" s="57"/>
      <c r="P24" s="40"/>
      <c r="Q24" s="52" t="str">
        <f>IF($D24="","",IF($K24&lt;&gt;"Balance Sheet / Clearing","-",IF(SUMPRODUCT(--(LEFT('7. Settlements'!$J$8:$J$107,7)=$A24),--('7. Settlements'!$M$8:$M$107="Tied out"))+SUMPRODUCT(--(LEFT('8. Transfers'!$H$9:$H$108,7)=$A24),--('8. Transfers'!$J$9:$J$108="Matched"))+SUMPRODUCT(--(LEFT('8. Transfers'!$I$9:$I$108,7)=$A24),--('8. Transfers'!$J$9:$J$108="Matched"))+IF($O24="",0,COUNTIFS('9. Payroll Allocation'!$B$234:$B$253,$O24,'9. Payroll Allocation'!$H$234:$H$253,"Tied out"))&gt;0,"Linked","MISSING DETAIL")))</f>
        <v/>
      </c>
      <c r="T24" s="58" t="str">
        <f t="shared" si="7"/>
        <v/>
      </c>
      <c r="U24" s="59" t="str">
        <f>IF($T24="","",COUNTIF($T$6:$T24,"?*"))</f>
        <v/>
      </c>
      <c r="V24" s="58" t="str">
        <f t="shared" si="8"/>
        <v/>
      </c>
    </row>
    <row r="25" spans="1:22" ht="12.95" customHeight="1" x14ac:dyDescent="0.25">
      <c r="A25" s="60" t="str">
        <f t="shared" si="0"/>
        <v/>
      </c>
      <c r="B25" s="37"/>
      <c r="C25" s="28"/>
      <c r="D25" s="35"/>
      <c r="E25" s="38"/>
      <c r="F25" s="38"/>
      <c r="G25" s="60" t="str">
        <f t="shared" si="1"/>
        <v/>
      </c>
      <c r="H25" s="61" t="str">
        <f t="shared" si="2"/>
        <v/>
      </c>
      <c r="I25" s="40"/>
      <c r="J25" s="62" t="str">
        <f t="shared" si="3"/>
        <v/>
      </c>
      <c r="K25" s="45" t="str">
        <f t="shared" si="4"/>
        <v/>
      </c>
      <c r="L25" s="55"/>
      <c r="M25" s="63">
        <f t="shared" si="5"/>
        <v>0</v>
      </c>
      <c r="N25" s="63">
        <f t="shared" si="6"/>
        <v>0</v>
      </c>
      <c r="O25" s="57"/>
      <c r="P25" s="40"/>
      <c r="Q25" s="60" t="str">
        <f>IF($D25="","",IF($K25&lt;&gt;"Balance Sheet / Clearing","-",IF(SUMPRODUCT(--(LEFT('7. Settlements'!$J$8:$J$107,7)=$A25),--('7. Settlements'!$M$8:$M$107="Tied out"))+SUMPRODUCT(--(LEFT('8. Transfers'!$H$9:$H$108,7)=$A25),--('8. Transfers'!$J$9:$J$108="Matched"))+SUMPRODUCT(--(LEFT('8. Transfers'!$I$9:$I$108,7)=$A25),--('8. Transfers'!$J$9:$J$108="Matched"))+IF($O25="",0,COUNTIFS('9. Payroll Allocation'!$B$234:$B$253,$O25,'9. Payroll Allocation'!$H$234:$H$253,"Tied out"))&gt;0,"Linked","MISSING DETAIL")))</f>
        <v/>
      </c>
      <c r="T25" s="58" t="str">
        <f t="shared" si="7"/>
        <v/>
      </c>
      <c r="U25" s="59" t="str">
        <f>IF($T25="","",COUNTIF($T$6:$T25,"?*"))</f>
        <v/>
      </c>
      <c r="V25" s="58" t="str">
        <f t="shared" si="8"/>
        <v/>
      </c>
    </row>
    <row r="26" spans="1:22" ht="12.95" customHeight="1" x14ac:dyDescent="0.25">
      <c r="A26" s="52" t="str">
        <f t="shared" si="0"/>
        <v/>
      </c>
      <c r="B26" s="37"/>
      <c r="C26" s="28"/>
      <c r="D26" s="35"/>
      <c r="E26" s="38"/>
      <c r="F26" s="38"/>
      <c r="G26" s="52" t="str">
        <f t="shared" si="1"/>
        <v/>
      </c>
      <c r="H26" s="53" t="str">
        <f t="shared" si="2"/>
        <v/>
      </c>
      <c r="I26" s="40"/>
      <c r="J26" s="54" t="str">
        <f t="shared" si="3"/>
        <v/>
      </c>
      <c r="K26" s="41" t="str">
        <f t="shared" si="4"/>
        <v/>
      </c>
      <c r="L26" s="55"/>
      <c r="M26" s="56">
        <f t="shared" si="5"/>
        <v>0</v>
      </c>
      <c r="N26" s="56">
        <f t="shared" si="6"/>
        <v>0</v>
      </c>
      <c r="O26" s="57"/>
      <c r="P26" s="40"/>
      <c r="Q26" s="52" t="str">
        <f>IF($D26="","",IF($K26&lt;&gt;"Balance Sheet / Clearing","-",IF(SUMPRODUCT(--(LEFT('7. Settlements'!$J$8:$J$107,7)=$A26),--('7. Settlements'!$M$8:$M$107="Tied out"))+SUMPRODUCT(--(LEFT('8. Transfers'!$H$9:$H$108,7)=$A26),--('8. Transfers'!$J$9:$J$108="Matched"))+SUMPRODUCT(--(LEFT('8. Transfers'!$I$9:$I$108,7)=$A26),--('8. Transfers'!$J$9:$J$108="Matched"))+IF($O26="",0,COUNTIFS('9. Payroll Allocation'!$B$234:$B$253,$O26,'9. Payroll Allocation'!$H$234:$H$253,"Tied out"))&gt;0,"Linked","MISSING DETAIL")))</f>
        <v/>
      </c>
      <c r="T26" s="58" t="str">
        <f t="shared" si="7"/>
        <v/>
      </c>
      <c r="U26" s="59" t="str">
        <f>IF($T26="","",COUNTIF($T$6:$T26,"?*"))</f>
        <v/>
      </c>
      <c r="V26" s="58" t="str">
        <f t="shared" si="8"/>
        <v/>
      </c>
    </row>
    <row r="27" spans="1:22" ht="12.95" customHeight="1" x14ac:dyDescent="0.25">
      <c r="A27" s="60" t="str">
        <f t="shared" si="0"/>
        <v/>
      </c>
      <c r="B27" s="37"/>
      <c r="C27" s="28"/>
      <c r="D27" s="35"/>
      <c r="E27" s="38"/>
      <c r="F27" s="38"/>
      <c r="G27" s="60" t="str">
        <f t="shared" si="1"/>
        <v/>
      </c>
      <c r="H27" s="61" t="str">
        <f t="shared" si="2"/>
        <v/>
      </c>
      <c r="I27" s="40"/>
      <c r="J27" s="62" t="str">
        <f t="shared" si="3"/>
        <v/>
      </c>
      <c r="K27" s="45" t="str">
        <f t="shared" si="4"/>
        <v/>
      </c>
      <c r="L27" s="55"/>
      <c r="M27" s="63">
        <f t="shared" si="5"/>
        <v>0</v>
      </c>
      <c r="N27" s="63">
        <f t="shared" si="6"/>
        <v>0</v>
      </c>
      <c r="O27" s="57"/>
      <c r="P27" s="40"/>
      <c r="Q27" s="60" t="str">
        <f>IF($D27="","",IF($K27&lt;&gt;"Balance Sheet / Clearing","-",IF(SUMPRODUCT(--(LEFT('7. Settlements'!$J$8:$J$107,7)=$A27),--('7. Settlements'!$M$8:$M$107="Tied out"))+SUMPRODUCT(--(LEFT('8. Transfers'!$H$9:$H$108,7)=$A27),--('8. Transfers'!$J$9:$J$108="Matched"))+SUMPRODUCT(--(LEFT('8. Transfers'!$I$9:$I$108,7)=$A27),--('8. Transfers'!$J$9:$J$108="Matched"))+IF($O27="",0,COUNTIFS('9. Payroll Allocation'!$B$234:$B$253,$O27,'9. Payroll Allocation'!$H$234:$H$253,"Tied out"))&gt;0,"Linked","MISSING DETAIL")))</f>
        <v/>
      </c>
      <c r="T27" s="58" t="str">
        <f t="shared" si="7"/>
        <v/>
      </c>
      <c r="U27" s="59" t="str">
        <f>IF($T27="","",COUNTIF($T$6:$T27,"?*"))</f>
        <v/>
      </c>
      <c r="V27" s="58" t="str">
        <f t="shared" si="8"/>
        <v/>
      </c>
    </row>
    <row r="28" spans="1:22" ht="12.95" customHeight="1" x14ac:dyDescent="0.25">
      <c r="A28" s="52" t="str">
        <f t="shared" si="0"/>
        <v/>
      </c>
      <c r="B28" s="37"/>
      <c r="C28" s="28"/>
      <c r="D28" s="35"/>
      <c r="E28" s="38"/>
      <c r="F28" s="38"/>
      <c r="G28" s="52" t="str">
        <f t="shared" si="1"/>
        <v/>
      </c>
      <c r="H28" s="53" t="str">
        <f t="shared" si="2"/>
        <v/>
      </c>
      <c r="I28" s="40"/>
      <c r="J28" s="54" t="str">
        <f t="shared" si="3"/>
        <v/>
      </c>
      <c r="K28" s="41" t="str">
        <f t="shared" si="4"/>
        <v/>
      </c>
      <c r="L28" s="55"/>
      <c r="M28" s="56">
        <f t="shared" si="5"/>
        <v>0</v>
      </c>
      <c r="N28" s="56">
        <f t="shared" si="6"/>
        <v>0</v>
      </c>
      <c r="O28" s="57"/>
      <c r="P28" s="40"/>
      <c r="Q28" s="52" t="str">
        <f>IF($D28="","",IF($K28&lt;&gt;"Balance Sheet / Clearing","-",IF(SUMPRODUCT(--(LEFT('7. Settlements'!$J$8:$J$107,7)=$A28),--('7. Settlements'!$M$8:$M$107="Tied out"))+SUMPRODUCT(--(LEFT('8. Transfers'!$H$9:$H$108,7)=$A28),--('8. Transfers'!$J$9:$J$108="Matched"))+SUMPRODUCT(--(LEFT('8. Transfers'!$I$9:$I$108,7)=$A28),--('8. Transfers'!$J$9:$J$108="Matched"))+IF($O28="",0,COUNTIFS('9. Payroll Allocation'!$B$234:$B$253,$O28,'9. Payroll Allocation'!$H$234:$H$253,"Tied out"))&gt;0,"Linked","MISSING DETAIL")))</f>
        <v/>
      </c>
      <c r="T28" s="58" t="str">
        <f t="shared" si="7"/>
        <v/>
      </c>
      <c r="U28" s="59" t="str">
        <f>IF($T28="","",COUNTIF($T$6:$T28,"?*"))</f>
        <v/>
      </c>
      <c r="V28" s="58" t="str">
        <f t="shared" si="8"/>
        <v/>
      </c>
    </row>
    <row r="29" spans="1:22" ht="12.95" customHeight="1" x14ac:dyDescent="0.25">
      <c r="A29" s="60" t="str">
        <f t="shared" si="0"/>
        <v/>
      </c>
      <c r="B29" s="37"/>
      <c r="C29" s="28"/>
      <c r="D29" s="35"/>
      <c r="E29" s="38"/>
      <c r="F29" s="38"/>
      <c r="G29" s="60" t="str">
        <f t="shared" si="1"/>
        <v/>
      </c>
      <c r="H29" s="61" t="str">
        <f t="shared" si="2"/>
        <v/>
      </c>
      <c r="I29" s="40"/>
      <c r="J29" s="62" t="str">
        <f t="shared" si="3"/>
        <v/>
      </c>
      <c r="K29" s="45" t="str">
        <f t="shared" si="4"/>
        <v/>
      </c>
      <c r="L29" s="55"/>
      <c r="M29" s="63">
        <f t="shared" si="5"/>
        <v>0</v>
      </c>
      <c r="N29" s="63">
        <f t="shared" si="6"/>
        <v>0</v>
      </c>
      <c r="O29" s="57"/>
      <c r="P29" s="40"/>
      <c r="Q29" s="60" t="str">
        <f>IF($D29="","",IF($K29&lt;&gt;"Balance Sheet / Clearing","-",IF(SUMPRODUCT(--(LEFT('7. Settlements'!$J$8:$J$107,7)=$A29),--('7. Settlements'!$M$8:$M$107="Tied out"))+SUMPRODUCT(--(LEFT('8. Transfers'!$H$9:$H$108,7)=$A29),--('8. Transfers'!$J$9:$J$108="Matched"))+SUMPRODUCT(--(LEFT('8. Transfers'!$I$9:$I$108,7)=$A29),--('8. Transfers'!$J$9:$J$108="Matched"))+IF($O29="",0,COUNTIFS('9. Payroll Allocation'!$B$234:$B$253,$O29,'9. Payroll Allocation'!$H$234:$H$253,"Tied out"))&gt;0,"Linked","MISSING DETAIL")))</f>
        <v/>
      </c>
      <c r="T29" s="58" t="str">
        <f t="shared" si="7"/>
        <v/>
      </c>
      <c r="U29" s="59" t="str">
        <f>IF($T29="","",COUNTIF($T$6:$T29,"?*"))</f>
        <v/>
      </c>
      <c r="V29" s="58" t="str">
        <f t="shared" si="8"/>
        <v/>
      </c>
    </row>
    <row r="30" spans="1:22" ht="12.95" customHeight="1" x14ac:dyDescent="0.25">
      <c r="A30" s="52" t="str">
        <f t="shared" si="0"/>
        <v/>
      </c>
      <c r="B30" s="37"/>
      <c r="C30" s="28"/>
      <c r="D30" s="35"/>
      <c r="E30" s="38"/>
      <c r="F30" s="38"/>
      <c r="G30" s="52" t="str">
        <f t="shared" si="1"/>
        <v/>
      </c>
      <c r="H30" s="53" t="str">
        <f t="shared" si="2"/>
        <v/>
      </c>
      <c r="I30" s="40"/>
      <c r="J30" s="54" t="str">
        <f t="shared" si="3"/>
        <v/>
      </c>
      <c r="K30" s="41" t="str">
        <f t="shared" si="4"/>
        <v/>
      </c>
      <c r="L30" s="55"/>
      <c r="M30" s="56">
        <f t="shared" si="5"/>
        <v>0</v>
      </c>
      <c r="N30" s="56">
        <f t="shared" si="6"/>
        <v>0</v>
      </c>
      <c r="O30" s="57"/>
      <c r="P30" s="40"/>
      <c r="Q30" s="52" t="str">
        <f>IF($D30="","",IF($K30&lt;&gt;"Balance Sheet / Clearing","-",IF(SUMPRODUCT(--(LEFT('7. Settlements'!$J$8:$J$107,7)=$A30),--('7. Settlements'!$M$8:$M$107="Tied out"))+SUMPRODUCT(--(LEFT('8. Transfers'!$H$9:$H$108,7)=$A30),--('8. Transfers'!$J$9:$J$108="Matched"))+SUMPRODUCT(--(LEFT('8. Transfers'!$I$9:$I$108,7)=$A30),--('8. Transfers'!$J$9:$J$108="Matched"))+IF($O30="",0,COUNTIFS('9. Payroll Allocation'!$B$234:$B$253,$O30,'9. Payroll Allocation'!$H$234:$H$253,"Tied out"))&gt;0,"Linked","MISSING DETAIL")))</f>
        <v/>
      </c>
      <c r="T30" s="58" t="str">
        <f t="shared" si="7"/>
        <v/>
      </c>
      <c r="U30" s="59" t="str">
        <f>IF($T30="","",COUNTIF($T$6:$T30,"?*"))</f>
        <v/>
      </c>
      <c r="V30" s="58" t="str">
        <f t="shared" si="8"/>
        <v/>
      </c>
    </row>
    <row r="31" spans="1:22" ht="12.95" customHeight="1" x14ac:dyDescent="0.25">
      <c r="A31" s="60" t="str">
        <f t="shared" si="0"/>
        <v/>
      </c>
      <c r="B31" s="37"/>
      <c r="C31" s="28"/>
      <c r="D31" s="35"/>
      <c r="E31" s="38"/>
      <c r="F31" s="38"/>
      <c r="G31" s="60" t="str">
        <f t="shared" si="1"/>
        <v/>
      </c>
      <c r="H31" s="61" t="str">
        <f t="shared" si="2"/>
        <v/>
      </c>
      <c r="I31" s="40"/>
      <c r="J31" s="62" t="str">
        <f t="shared" si="3"/>
        <v/>
      </c>
      <c r="K31" s="45" t="str">
        <f t="shared" si="4"/>
        <v/>
      </c>
      <c r="L31" s="55"/>
      <c r="M31" s="63">
        <f t="shared" si="5"/>
        <v>0</v>
      </c>
      <c r="N31" s="63">
        <f t="shared" si="6"/>
        <v>0</v>
      </c>
      <c r="O31" s="57"/>
      <c r="P31" s="40"/>
      <c r="Q31" s="60" t="str">
        <f>IF($D31="","",IF($K31&lt;&gt;"Balance Sheet / Clearing","-",IF(SUMPRODUCT(--(LEFT('7. Settlements'!$J$8:$J$107,7)=$A31),--('7. Settlements'!$M$8:$M$107="Tied out"))+SUMPRODUCT(--(LEFT('8. Transfers'!$H$9:$H$108,7)=$A31),--('8. Transfers'!$J$9:$J$108="Matched"))+SUMPRODUCT(--(LEFT('8. Transfers'!$I$9:$I$108,7)=$A31),--('8. Transfers'!$J$9:$J$108="Matched"))+IF($O31="",0,COUNTIFS('9. Payroll Allocation'!$B$234:$B$253,$O31,'9. Payroll Allocation'!$H$234:$H$253,"Tied out"))&gt;0,"Linked","MISSING DETAIL")))</f>
        <v/>
      </c>
      <c r="T31" s="58" t="str">
        <f t="shared" si="7"/>
        <v/>
      </c>
      <c r="U31" s="59" t="str">
        <f>IF($T31="","",COUNTIF($T$6:$T31,"?*"))</f>
        <v/>
      </c>
      <c r="V31" s="58" t="str">
        <f t="shared" si="8"/>
        <v/>
      </c>
    </row>
    <row r="32" spans="1:22" ht="12.95" customHeight="1" x14ac:dyDescent="0.25">
      <c r="A32" s="52" t="str">
        <f t="shared" si="0"/>
        <v/>
      </c>
      <c r="B32" s="37"/>
      <c r="C32" s="28"/>
      <c r="D32" s="35"/>
      <c r="E32" s="38"/>
      <c r="F32" s="38"/>
      <c r="G32" s="52" t="str">
        <f t="shared" si="1"/>
        <v/>
      </c>
      <c r="H32" s="53" t="str">
        <f t="shared" si="2"/>
        <v/>
      </c>
      <c r="I32" s="40"/>
      <c r="J32" s="54" t="str">
        <f t="shared" si="3"/>
        <v/>
      </c>
      <c r="K32" s="41" t="str">
        <f t="shared" si="4"/>
        <v/>
      </c>
      <c r="L32" s="55"/>
      <c r="M32" s="56">
        <f t="shared" si="5"/>
        <v>0</v>
      </c>
      <c r="N32" s="56">
        <f t="shared" si="6"/>
        <v>0</v>
      </c>
      <c r="O32" s="57"/>
      <c r="P32" s="40"/>
      <c r="Q32" s="52" t="str">
        <f>IF($D32="","",IF($K32&lt;&gt;"Balance Sheet / Clearing","-",IF(SUMPRODUCT(--(LEFT('7. Settlements'!$J$8:$J$107,7)=$A32),--('7. Settlements'!$M$8:$M$107="Tied out"))+SUMPRODUCT(--(LEFT('8. Transfers'!$H$9:$H$108,7)=$A32),--('8. Transfers'!$J$9:$J$108="Matched"))+SUMPRODUCT(--(LEFT('8. Transfers'!$I$9:$I$108,7)=$A32),--('8. Transfers'!$J$9:$J$108="Matched"))+IF($O32="",0,COUNTIFS('9. Payroll Allocation'!$B$234:$B$253,$O32,'9. Payroll Allocation'!$H$234:$H$253,"Tied out"))&gt;0,"Linked","MISSING DETAIL")))</f>
        <v/>
      </c>
      <c r="T32" s="58" t="str">
        <f t="shared" si="7"/>
        <v/>
      </c>
      <c r="U32" s="59" t="str">
        <f>IF($T32="","",COUNTIF($T$6:$T32,"?*"))</f>
        <v/>
      </c>
      <c r="V32" s="58" t="str">
        <f t="shared" si="8"/>
        <v/>
      </c>
    </row>
    <row r="33" spans="1:22" ht="12.95" customHeight="1" x14ac:dyDescent="0.25">
      <c r="A33" s="60" t="str">
        <f t="shared" si="0"/>
        <v/>
      </c>
      <c r="B33" s="37"/>
      <c r="C33" s="28"/>
      <c r="D33" s="35"/>
      <c r="E33" s="38"/>
      <c r="F33" s="38"/>
      <c r="G33" s="60" t="str">
        <f t="shared" si="1"/>
        <v/>
      </c>
      <c r="H33" s="61" t="str">
        <f t="shared" si="2"/>
        <v/>
      </c>
      <c r="I33" s="40"/>
      <c r="J33" s="62" t="str">
        <f t="shared" si="3"/>
        <v/>
      </c>
      <c r="K33" s="45" t="str">
        <f t="shared" si="4"/>
        <v/>
      </c>
      <c r="L33" s="55"/>
      <c r="M33" s="63">
        <f t="shared" si="5"/>
        <v>0</v>
      </c>
      <c r="N33" s="63">
        <f t="shared" si="6"/>
        <v>0</v>
      </c>
      <c r="O33" s="57"/>
      <c r="P33" s="40"/>
      <c r="Q33" s="60" t="str">
        <f>IF($D33="","",IF($K33&lt;&gt;"Balance Sheet / Clearing","-",IF(SUMPRODUCT(--(LEFT('7. Settlements'!$J$8:$J$107,7)=$A33),--('7. Settlements'!$M$8:$M$107="Tied out"))+SUMPRODUCT(--(LEFT('8. Transfers'!$H$9:$H$108,7)=$A33),--('8. Transfers'!$J$9:$J$108="Matched"))+SUMPRODUCT(--(LEFT('8. Transfers'!$I$9:$I$108,7)=$A33),--('8. Transfers'!$J$9:$J$108="Matched"))+IF($O33="",0,COUNTIFS('9. Payroll Allocation'!$B$234:$B$253,$O33,'9. Payroll Allocation'!$H$234:$H$253,"Tied out"))&gt;0,"Linked","MISSING DETAIL")))</f>
        <v/>
      </c>
      <c r="T33" s="58" t="str">
        <f t="shared" si="7"/>
        <v/>
      </c>
      <c r="U33" s="59" t="str">
        <f>IF($T33="","",COUNTIF($T$6:$T33,"?*"))</f>
        <v/>
      </c>
      <c r="V33" s="58" t="str">
        <f t="shared" si="8"/>
        <v/>
      </c>
    </row>
    <row r="34" spans="1:22" ht="12.95" customHeight="1" x14ac:dyDescent="0.25">
      <c r="A34" s="52" t="str">
        <f t="shared" si="0"/>
        <v/>
      </c>
      <c r="B34" s="37"/>
      <c r="C34" s="28"/>
      <c r="D34" s="35"/>
      <c r="E34" s="38"/>
      <c r="F34" s="38"/>
      <c r="G34" s="52" t="str">
        <f t="shared" si="1"/>
        <v/>
      </c>
      <c r="H34" s="53" t="str">
        <f t="shared" si="2"/>
        <v/>
      </c>
      <c r="I34" s="40"/>
      <c r="J34" s="54" t="str">
        <f t="shared" si="3"/>
        <v/>
      </c>
      <c r="K34" s="41" t="str">
        <f t="shared" si="4"/>
        <v/>
      </c>
      <c r="L34" s="55"/>
      <c r="M34" s="56">
        <f t="shared" si="5"/>
        <v>0</v>
      </c>
      <c r="N34" s="56">
        <f t="shared" si="6"/>
        <v>0</v>
      </c>
      <c r="O34" s="57"/>
      <c r="P34" s="40"/>
      <c r="Q34" s="52" t="str">
        <f>IF($D34="","",IF($K34&lt;&gt;"Balance Sheet / Clearing","-",IF(SUMPRODUCT(--(LEFT('7. Settlements'!$J$8:$J$107,7)=$A34),--('7. Settlements'!$M$8:$M$107="Tied out"))+SUMPRODUCT(--(LEFT('8. Transfers'!$H$9:$H$108,7)=$A34),--('8. Transfers'!$J$9:$J$108="Matched"))+SUMPRODUCT(--(LEFT('8. Transfers'!$I$9:$I$108,7)=$A34),--('8. Transfers'!$J$9:$J$108="Matched"))+IF($O34="",0,COUNTIFS('9. Payroll Allocation'!$B$234:$B$253,$O34,'9. Payroll Allocation'!$H$234:$H$253,"Tied out"))&gt;0,"Linked","MISSING DETAIL")))</f>
        <v/>
      </c>
      <c r="T34" s="58" t="str">
        <f t="shared" si="7"/>
        <v/>
      </c>
      <c r="U34" s="59" t="str">
        <f>IF($T34="","",COUNTIF($T$6:$T34,"?*"))</f>
        <v/>
      </c>
      <c r="V34" s="58" t="str">
        <f t="shared" si="8"/>
        <v/>
      </c>
    </row>
    <row r="35" spans="1:22" ht="12.95" customHeight="1" x14ac:dyDescent="0.25">
      <c r="A35" s="60" t="str">
        <f t="shared" si="0"/>
        <v/>
      </c>
      <c r="B35" s="37"/>
      <c r="C35" s="28"/>
      <c r="D35" s="35"/>
      <c r="E35" s="38"/>
      <c r="F35" s="38"/>
      <c r="G35" s="60" t="str">
        <f t="shared" si="1"/>
        <v/>
      </c>
      <c r="H35" s="61" t="str">
        <f t="shared" si="2"/>
        <v/>
      </c>
      <c r="I35" s="40"/>
      <c r="J35" s="62" t="str">
        <f t="shared" si="3"/>
        <v/>
      </c>
      <c r="K35" s="45" t="str">
        <f t="shared" si="4"/>
        <v/>
      </c>
      <c r="L35" s="55"/>
      <c r="M35" s="63">
        <f t="shared" si="5"/>
        <v>0</v>
      </c>
      <c r="N35" s="63">
        <f t="shared" si="6"/>
        <v>0</v>
      </c>
      <c r="O35" s="57"/>
      <c r="P35" s="40"/>
      <c r="Q35" s="60" t="str">
        <f>IF($D35="","",IF($K35&lt;&gt;"Balance Sheet / Clearing","-",IF(SUMPRODUCT(--(LEFT('7. Settlements'!$J$8:$J$107,7)=$A35),--('7. Settlements'!$M$8:$M$107="Tied out"))+SUMPRODUCT(--(LEFT('8. Transfers'!$H$9:$H$108,7)=$A35),--('8. Transfers'!$J$9:$J$108="Matched"))+SUMPRODUCT(--(LEFT('8. Transfers'!$I$9:$I$108,7)=$A35),--('8. Transfers'!$J$9:$J$108="Matched"))+IF($O35="",0,COUNTIFS('9. Payroll Allocation'!$B$234:$B$253,$O35,'9. Payroll Allocation'!$H$234:$H$253,"Tied out"))&gt;0,"Linked","MISSING DETAIL")))</f>
        <v/>
      </c>
      <c r="T35" s="58" t="str">
        <f t="shared" si="7"/>
        <v/>
      </c>
      <c r="U35" s="59" t="str">
        <f>IF($T35="","",COUNTIF($T$6:$T35,"?*"))</f>
        <v/>
      </c>
      <c r="V35" s="58" t="str">
        <f t="shared" si="8"/>
        <v/>
      </c>
    </row>
    <row r="36" spans="1:22" ht="12.95" customHeight="1" x14ac:dyDescent="0.25">
      <c r="A36" s="52" t="str">
        <f t="shared" si="0"/>
        <v/>
      </c>
      <c r="B36" s="37"/>
      <c r="C36" s="28"/>
      <c r="D36" s="35"/>
      <c r="E36" s="38"/>
      <c r="F36" s="38"/>
      <c r="G36" s="52" t="str">
        <f t="shared" si="1"/>
        <v/>
      </c>
      <c r="H36" s="53" t="str">
        <f t="shared" si="2"/>
        <v/>
      </c>
      <c r="I36" s="40"/>
      <c r="J36" s="54" t="str">
        <f t="shared" si="3"/>
        <v/>
      </c>
      <c r="K36" s="41" t="str">
        <f t="shared" si="4"/>
        <v/>
      </c>
      <c r="L36" s="55"/>
      <c r="M36" s="56">
        <f t="shared" si="5"/>
        <v>0</v>
      </c>
      <c r="N36" s="56">
        <f t="shared" si="6"/>
        <v>0</v>
      </c>
      <c r="O36" s="57"/>
      <c r="P36" s="40"/>
      <c r="Q36" s="52" t="str">
        <f>IF($D36="","",IF($K36&lt;&gt;"Balance Sheet / Clearing","-",IF(SUMPRODUCT(--(LEFT('7. Settlements'!$J$8:$J$107,7)=$A36),--('7. Settlements'!$M$8:$M$107="Tied out"))+SUMPRODUCT(--(LEFT('8. Transfers'!$H$9:$H$108,7)=$A36),--('8. Transfers'!$J$9:$J$108="Matched"))+SUMPRODUCT(--(LEFT('8. Transfers'!$I$9:$I$108,7)=$A36),--('8. Transfers'!$J$9:$J$108="Matched"))+IF($O36="",0,COUNTIFS('9. Payroll Allocation'!$B$234:$B$253,$O36,'9. Payroll Allocation'!$H$234:$H$253,"Tied out"))&gt;0,"Linked","MISSING DETAIL")))</f>
        <v/>
      </c>
      <c r="T36" s="58" t="str">
        <f t="shared" si="7"/>
        <v/>
      </c>
      <c r="U36" s="59" t="str">
        <f>IF($T36="","",COUNTIF($T$6:$T36,"?*"))</f>
        <v/>
      </c>
      <c r="V36" s="58" t="str">
        <f t="shared" si="8"/>
        <v/>
      </c>
    </row>
    <row r="37" spans="1:22" ht="12.95" customHeight="1" x14ac:dyDescent="0.25">
      <c r="A37" s="60" t="str">
        <f t="shared" si="0"/>
        <v/>
      </c>
      <c r="B37" s="37"/>
      <c r="C37" s="28"/>
      <c r="D37" s="35"/>
      <c r="E37" s="38"/>
      <c r="F37" s="38"/>
      <c r="G37" s="60" t="str">
        <f t="shared" si="1"/>
        <v/>
      </c>
      <c r="H37" s="61" t="str">
        <f t="shared" si="2"/>
        <v/>
      </c>
      <c r="I37" s="40"/>
      <c r="J37" s="62" t="str">
        <f t="shared" si="3"/>
        <v/>
      </c>
      <c r="K37" s="45" t="str">
        <f t="shared" si="4"/>
        <v/>
      </c>
      <c r="L37" s="55"/>
      <c r="M37" s="63">
        <f t="shared" si="5"/>
        <v>0</v>
      </c>
      <c r="N37" s="63">
        <f t="shared" si="6"/>
        <v>0</v>
      </c>
      <c r="O37" s="57"/>
      <c r="P37" s="40"/>
      <c r="Q37" s="60" t="str">
        <f>IF($D37="","",IF($K37&lt;&gt;"Balance Sheet / Clearing","-",IF(SUMPRODUCT(--(LEFT('7. Settlements'!$J$8:$J$107,7)=$A37),--('7. Settlements'!$M$8:$M$107="Tied out"))+SUMPRODUCT(--(LEFT('8. Transfers'!$H$9:$H$108,7)=$A37),--('8. Transfers'!$J$9:$J$108="Matched"))+SUMPRODUCT(--(LEFT('8. Transfers'!$I$9:$I$108,7)=$A37),--('8. Transfers'!$J$9:$J$108="Matched"))+IF($O37="",0,COUNTIFS('9. Payroll Allocation'!$B$234:$B$253,$O37,'9. Payroll Allocation'!$H$234:$H$253,"Tied out"))&gt;0,"Linked","MISSING DETAIL")))</f>
        <v/>
      </c>
      <c r="T37" s="58" t="str">
        <f t="shared" si="7"/>
        <v/>
      </c>
      <c r="U37" s="59" t="str">
        <f>IF($T37="","",COUNTIF($T$6:$T37,"?*"))</f>
        <v/>
      </c>
      <c r="V37" s="58" t="str">
        <f t="shared" si="8"/>
        <v/>
      </c>
    </row>
    <row r="38" spans="1:22" ht="12.95" customHeight="1" x14ac:dyDescent="0.25">
      <c r="A38" s="52" t="str">
        <f t="shared" si="0"/>
        <v/>
      </c>
      <c r="B38" s="37"/>
      <c r="C38" s="28"/>
      <c r="D38" s="35"/>
      <c r="E38" s="38"/>
      <c r="F38" s="38"/>
      <c r="G38" s="52" t="str">
        <f t="shared" si="1"/>
        <v/>
      </c>
      <c r="H38" s="53" t="str">
        <f t="shared" si="2"/>
        <v/>
      </c>
      <c r="I38" s="40"/>
      <c r="J38" s="54" t="str">
        <f t="shared" si="3"/>
        <v/>
      </c>
      <c r="K38" s="41" t="str">
        <f t="shared" si="4"/>
        <v/>
      </c>
      <c r="L38" s="55"/>
      <c r="M38" s="56">
        <f t="shared" si="5"/>
        <v>0</v>
      </c>
      <c r="N38" s="56">
        <f t="shared" si="6"/>
        <v>0</v>
      </c>
      <c r="O38" s="57"/>
      <c r="P38" s="40"/>
      <c r="Q38" s="52" t="str">
        <f>IF($D38="","",IF($K38&lt;&gt;"Balance Sheet / Clearing","-",IF(SUMPRODUCT(--(LEFT('7. Settlements'!$J$8:$J$107,7)=$A38),--('7. Settlements'!$M$8:$M$107="Tied out"))+SUMPRODUCT(--(LEFT('8. Transfers'!$H$9:$H$108,7)=$A38),--('8. Transfers'!$J$9:$J$108="Matched"))+SUMPRODUCT(--(LEFT('8. Transfers'!$I$9:$I$108,7)=$A38),--('8. Transfers'!$J$9:$J$108="Matched"))+IF($O38="",0,COUNTIFS('9. Payroll Allocation'!$B$234:$B$253,$O38,'9. Payroll Allocation'!$H$234:$H$253,"Tied out"))&gt;0,"Linked","MISSING DETAIL")))</f>
        <v/>
      </c>
      <c r="T38" s="58" t="str">
        <f t="shared" si="7"/>
        <v/>
      </c>
      <c r="U38" s="59" t="str">
        <f>IF($T38="","",COUNTIF($T$6:$T38,"?*"))</f>
        <v/>
      </c>
      <c r="V38" s="58" t="str">
        <f t="shared" si="8"/>
        <v/>
      </c>
    </row>
    <row r="39" spans="1:22" ht="12.95" customHeight="1" x14ac:dyDescent="0.25">
      <c r="A39" s="60" t="str">
        <f t="shared" si="0"/>
        <v/>
      </c>
      <c r="B39" s="37"/>
      <c r="C39" s="28"/>
      <c r="D39" s="35"/>
      <c r="E39" s="38"/>
      <c r="F39" s="38"/>
      <c r="G39" s="60" t="str">
        <f t="shared" si="1"/>
        <v/>
      </c>
      <c r="H39" s="61" t="str">
        <f t="shared" si="2"/>
        <v/>
      </c>
      <c r="I39" s="40"/>
      <c r="J39" s="62" t="str">
        <f t="shared" si="3"/>
        <v/>
      </c>
      <c r="K39" s="45" t="str">
        <f t="shared" si="4"/>
        <v/>
      </c>
      <c r="L39" s="55"/>
      <c r="M39" s="63">
        <f t="shared" si="5"/>
        <v>0</v>
      </c>
      <c r="N39" s="63">
        <f t="shared" si="6"/>
        <v>0</v>
      </c>
      <c r="O39" s="57"/>
      <c r="P39" s="40"/>
      <c r="Q39" s="60" t="str">
        <f>IF($D39="","",IF($K39&lt;&gt;"Balance Sheet / Clearing","-",IF(SUMPRODUCT(--(LEFT('7. Settlements'!$J$8:$J$107,7)=$A39),--('7. Settlements'!$M$8:$M$107="Tied out"))+SUMPRODUCT(--(LEFT('8. Transfers'!$H$9:$H$108,7)=$A39),--('8. Transfers'!$J$9:$J$108="Matched"))+SUMPRODUCT(--(LEFT('8. Transfers'!$I$9:$I$108,7)=$A39),--('8. Transfers'!$J$9:$J$108="Matched"))+IF($O39="",0,COUNTIFS('9. Payroll Allocation'!$B$234:$B$253,$O39,'9. Payroll Allocation'!$H$234:$H$253,"Tied out"))&gt;0,"Linked","MISSING DETAIL")))</f>
        <v/>
      </c>
      <c r="T39" s="58" t="str">
        <f t="shared" si="7"/>
        <v/>
      </c>
      <c r="U39" s="59" t="str">
        <f>IF($T39="","",COUNTIF($T$6:$T39,"?*"))</f>
        <v/>
      </c>
      <c r="V39" s="58" t="str">
        <f t="shared" si="8"/>
        <v/>
      </c>
    </row>
    <row r="40" spans="1:22" ht="12.95" customHeight="1" x14ac:dyDescent="0.25">
      <c r="A40" s="52" t="str">
        <f t="shared" si="0"/>
        <v/>
      </c>
      <c r="B40" s="37"/>
      <c r="C40" s="28"/>
      <c r="D40" s="35"/>
      <c r="E40" s="38"/>
      <c r="F40" s="38"/>
      <c r="G40" s="52" t="str">
        <f t="shared" si="1"/>
        <v/>
      </c>
      <c r="H40" s="53" t="str">
        <f t="shared" si="2"/>
        <v/>
      </c>
      <c r="I40" s="40"/>
      <c r="J40" s="54" t="str">
        <f t="shared" si="3"/>
        <v/>
      </c>
      <c r="K40" s="41" t="str">
        <f t="shared" si="4"/>
        <v/>
      </c>
      <c r="L40" s="55"/>
      <c r="M40" s="56">
        <f t="shared" si="5"/>
        <v>0</v>
      </c>
      <c r="N40" s="56">
        <f t="shared" si="6"/>
        <v>0</v>
      </c>
      <c r="O40" s="57"/>
      <c r="P40" s="40"/>
      <c r="Q40" s="52" t="str">
        <f>IF($D40="","",IF($K40&lt;&gt;"Balance Sheet / Clearing","-",IF(SUMPRODUCT(--(LEFT('7. Settlements'!$J$8:$J$107,7)=$A40),--('7. Settlements'!$M$8:$M$107="Tied out"))+SUMPRODUCT(--(LEFT('8. Transfers'!$H$9:$H$108,7)=$A40),--('8. Transfers'!$J$9:$J$108="Matched"))+SUMPRODUCT(--(LEFT('8. Transfers'!$I$9:$I$108,7)=$A40),--('8. Transfers'!$J$9:$J$108="Matched"))+IF($O40="",0,COUNTIFS('9. Payroll Allocation'!$B$234:$B$253,$O40,'9. Payroll Allocation'!$H$234:$H$253,"Tied out"))&gt;0,"Linked","MISSING DETAIL")))</f>
        <v/>
      </c>
      <c r="T40" s="58" t="str">
        <f t="shared" si="7"/>
        <v/>
      </c>
      <c r="U40" s="59" t="str">
        <f>IF($T40="","",COUNTIF($T$6:$T40,"?*"))</f>
        <v/>
      </c>
      <c r="V40" s="58" t="str">
        <f t="shared" si="8"/>
        <v/>
      </c>
    </row>
    <row r="41" spans="1:22" ht="12.95" customHeight="1" x14ac:dyDescent="0.25">
      <c r="A41" s="60" t="str">
        <f t="shared" si="0"/>
        <v/>
      </c>
      <c r="B41" s="37"/>
      <c r="C41" s="28"/>
      <c r="D41" s="35"/>
      <c r="E41" s="38"/>
      <c r="F41" s="38"/>
      <c r="G41" s="60" t="str">
        <f t="shared" si="1"/>
        <v/>
      </c>
      <c r="H41" s="61" t="str">
        <f t="shared" si="2"/>
        <v/>
      </c>
      <c r="I41" s="40"/>
      <c r="J41" s="62" t="str">
        <f t="shared" si="3"/>
        <v/>
      </c>
      <c r="K41" s="45" t="str">
        <f t="shared" si="4"/>
        <v/>
      </c>
      <c r="L41" s="55"/>
      <c r="M41" s="63">
        <f t="shared" si="5"/>
        <v>0</v>
      </c>
      <c r="N41" s="63">
        <f t="shared" si="6"/>
        <v>0</v>
      </c>
      <c r="O41" s="57"/>
      <c r="P41" s="40"/>
      <c r="Q41" s="60" t="str">
        <f>IF($D41="","",IF($K41&lt;&gt;"Balance Sheet / Clearing","-",IF(SUMPRODUCT(--(LEFT('7. Settlements'!$J$8:$J$107,7)=$A41),--('7. Settlements'!$M$8:$M$107="Tied out"))+SUMPRODUCT(--(LEFT('8. Transfers'!$H$9:$H$108,7)=$A41),--('8. Transfers'!$J$9:$J$108="Matched"))+SUMPRODUCT(--(LEFT('8. Transfers'!$I$9:$I$108,7)=$A41),--('8. Transfers'!$J$9:$J$108="Matched"))+IF($O41="",0,COUNTIFS('9. Payroll Allocation'!$B$234:$B$253,$O41,'9. Payroll Allocation'!$H$234:$H$253,"Tied out"))&gt;0,"Linked","MISSING DETAIL")))</f>
        <v/>
      </c>
      <c r="T41" s="58" t="str">
        <f t="shared" si="7"/>
        <v/>
      </c>
      <c r="U41" s="59" t="str">
        <f>IF($T41="","",COUNTIF($T$6:$T41,"?*"))</f>
        <v/>
      </c>
      <c r="V41" s="58" t="str">
        <f t="shared" si="8"/>
        <v/>
      </c>
    </row>
    <row r="42" spans="1:22" ht="12.95" customHeight="1" x14ac:dyDescent="0.25">
      <c r="A42" s="52" t="str">
        <f t="shared" si="0"/>
        <v/>
      </c>
      <c r="B42" s="37"/>
      <c r="C42" s="28"/>
      <c r="D42" s="35"/>
      <c r="E42" s="38"/>
      <c r="F42" s="38"/>
      <c r="G42" s="52" t="str">
        <f t="shared" si="1"/>
        <v/>
      </c>
      <c r="H42" s="53" t="str">
        <f t="shared" si="2"/>
        <v/>
      </c>
      <c r="I42" s="40"/>
      <c r="J42" s="54" t="str">
        <f t="shared" si="3"/>
        <v/>
      </c>
      <c r="K42" s="41" t="str">
        <f t="shared" si="4"/>
        <v/>
      </c>
      <c r="L42" s="55"/>
      <c r="M42" s="56">
        <f t="shared" si="5"/>
        <v>0</v>
      </c>
      <c r="N42" s="56">
        <f t="shared" si="6"/>
        <v>0</v>
      </c>
      <c r="O42" s="57"/>
      <c r="P42" s="40"/>
      <c r="Q42" s="52" t="str">
        <f>IF($D42="","",IF($K42&lt;&gt;"Balance Sheet / Clearing","-",IF(SUMPRODUCT(--(LEFT('7. Settlements'!$J$8:$J$107,7)=$A42),--('7. Settlements'!$M$8:$M$107="Tied out"))+SUMPRODUCT(--(LEFT('8. Transfers'!$H$9:$H$108,7)=$A42),--('8. Transfers'!$J$9:$J$108="Matched"))+SUMPRODUCT(--(LEFT('8. Transfers'!$I$9:$I$108,7)=$A42),--('8. Transfers'!$J$9:$J$108="Matched"))+IF($O42="",0,COUNTIFS('9. Payroll Allocation'!$B$234:$B$253,$O42,'9. Payroll Allocation'!$H$234:$H$253,"Tied out"))&gt;0,"Linked","MISSING DETAIL")))</f>
        <v/>
      </c>
      <c r="T42" s="58" t="str">
        <f t="shared" si="7"/>
        <v/>
      </c>
      <c r="U42" s="59" t="str">
        <f>IF($T42="","",COUNTIF($T$6:$T42,"?*"))</f>
        <v/>
      </c>
      <c r="V42" s="58" t="str">
        <f t="shared" si="8"/>
        <v/>
      </c>
    </row>
    <row r="43" spans="1:22" ht="12.95" customHeight="1" x14ac:dyDescent="0.25">
      <c r="A43" s="60" t="str">
        <f t="shared" si="0"/>
        <v/>
      </c>
      <c r="B43" s="37"/>
      <c r="C43" s="28"/>
      <c r="D43" s="35"/>
      <c r="E43" s="38"/>
      <c r="F43" s="38"/>
      <c r="G43" s="60" t="str">
        <f t="shared" si="1"/>
        <v/>
      </c>
      <c r="H43" s="61" t="str">
        <f t="shared" si="2"/>
        <v/>
      </c>
      <c r="I43" s="40"/>
      <c r="J43" s="62" t="str">
        <f t="shared" si="3"/>
        <v/>
      </c>
      <c r="K43" s="45" t="str">
        <f t="shared" si="4"/>
        <v/>
      </c>
      <c r="L43" s="55"/>
      <c r="M43" s="63">
        <f t="shared" si="5"/>
        <v>0</v>
      </c>
      <c r="N43" s="63">
        <f t="shared" si="6"/>
        <v>0</v>
      </c>
      <c r="O43" s="57"/>
      <c r="P43" s="40"/>
      <c r="Q43" s="60" t="str">
        <f>IF($D43="","",IF($K43&lt;&gt;"Balance Sheet / Clearing","-",IF(SUMPRODUCT(--(LEFT('7. Settlements'!$J$8:$J$107,7)=$A43),--('7. Settlements'!$M$8:$M$107="Tied out"))+SUMPRODUCT(--(LEFT('8. Transfers'!$H$9:$H$108,7)=$A43),--('8. Transfers'!$J$9:$J$108="Matched"))+SUMPRODUCT(--(LEFT('8. Transfers'!$I$9:$I$108,7)=$A43),--('8. Transfers'!$J$9:$J$108="Matched"))+IF($O43="",0,COUNTIFS('9. Payroll Allocation'!$B$234:$B$253,$O43,'9. Payroll Allocation'!$H$234:$H$253,"Tied out"))&gt;0,"Linked","MISSING DETAIL")))</f>
        <v/>
      </c>
      <c r="T43" s="58" t="str">
        <f t="shared" si="7"/>
        <v/>
      </c>
      <c r="U43" s="59" t="str">
        <f>IF($T43="","",COUNTIF($T$6:$T43,"?*"))</f>
        <v/>
      </c>
      <c r="V43" s="58" t="str">
        <f t="shared" si="8"/>
        <v/>
      </c>
    </row>
    <row r="44" spans="1:22" ht="12.95" customHeight="1" x14ac:dyDescent="0.25">
      <c r="A44" s="52" t="str">
        <f t="shared" si="0"/>
        <v/>
      </c>
      <c r="B44" s="37"/>
      <c r="C44" s="28"/>
      <c r="D44" s="35"/>
      <c r="E44" s="38"/>
      <c r="F44" s="38"/>
      <c r="G44" s="52" t="str">
        <f t="shared" si="1"/>
        <v/>
      </c>
      <c r="H44" s="53" t="str">
        <f t="shared" si="2"/>
        <v/>
      </c>
      <c r="I44" s="40"/>
      <c r="J44" s="54" t="str">
        <f t="shared" si="3"/>
        <v/>
      </c>
      <c r="K44" s="41" t="str">
        <f t="shared" si="4"/>
        <v/>
      </c>
      <c r="L44" s="55"/>
      <c r="M44" s="56">
        <f t="shared" si="5"/>
        <v>0</v>
      </c>
      <c r="N44" s="56">
        <f t="shared" si="6"/>
        <v>0</v>
      </c>
      <c r="O44" s="57"/>
      <c r="P44" s="40"/>
      <c r="Q44" s="52" t="str">
        <f>IF($D44="","",IF($K44&lt;&gt;"Balance Sheet / Clearing","-",IF(SUMPRODUCT(--(LEFT('7. Settlements'!$J$8:$J$107,7)=$A44),--('7. Settlements'!$M$8:$M$107="Tied out"))+SUMPRODUCT(--(LEFT('8. Transfers'!$H$9:$H$108,7)=$A44),--('8. Transfers'!$J$9:$J$108="Matched"))+SUMPRODUCT(--(LEFT('8. Transfers'!$I$9:$I$108,7)=$A44),--('8. Transfers'!$J$9:$J$108="Matched"))+IF($O44="",0,COUNTIFS('9. Payroll Allocation'!$B$234:$B$253,$O44,'9. Payroll Allocation'!$H$234:$H$253,"Tied out"))&gt;0,"Linked","MISSING DETAIL")))</f>
        <v/>
      </c>
      <c r="T44" s="58" t="str">
        <f t="shared" si="7"/>
        <v/>
      </c>
      <c r="U44" s="59" t="str">
        <f>IF($T44="","",COUNTIF($T$6:$T44,"?*"))</f>
        <v/>
      </c>
      <c r="V44" s="58" t="str">
        <f t="shared" si="8"/>
        <v/>
      </c>
    </row>
    <row r="45" spans="1:22" ht="12.95" customHeight="1" x14ac:dyDescent="0.25">
      <c r="A45" s="60" t="str">
        <f t="shared" si="0"/>
        <v/>
      </c>
      <c r="B45" s="37"/>
      <c r="C45" s="28"/>
      <c r="D45" s="35"/>
      <c r="E45" s="38"/>
      <c r="F45" s="38"/>
      <c r="G45" s="60" t="str">
        <f t="shared" si="1"/>
        <v/>
      </c>
      <c r="H45" s="61" t="str">
        <f t="shared" si="2"/>
        <v/>
      </c>
      <c r="I45" s="40"/>
      <c r="J45" s="62" t="str">
        <f t="shared" si="3"/>
        <v/>
      </c>
      <c r="K45" s="45" t="str">
        <f t="shared" si="4"/>
        <v/>
      </c>
      <c r="L45" s="55"/>
      <c r="M45" s="63">
        <f t="shared" si="5"/>
        <v>0</v>
      </c>
      <c r="N45" s="63">
        <f t="shared" si="6"/>
        <v>0</v>
      </c>
      <c r="O45" s="57"/>
      <c r="P45" s="40"/>
      <c r="Q45" s="60" t="str">
        <f>IF($D45="","",IF($K45&lt;&gt;"Balance Sheet / Clearing","-",IF(SUMPRODUCT(--(LEFT('7. Settlements'!$J$8:$J$107,7)=$A45),--('7. Settlements'!$M$8:$M$107="Tied out"))+SUMPRODUCT(--(LEFT('8. Transfers'!$H$9:$H$108,7)=$A45),--('8. Transfers'!$J$9:$J$108="Matched"))+SUMPRODUCT(--(LEFT('8. Transfers'!$I$9:$I$108,7)=$A45),--('8. Transfers'!$J$9:$J$108="Matched"))+IF($O45="",0,COUNTIFS('9. Payroll Allocation'!$B$234:$B$253,$O45,'9. Payroll Allocation'!$H$234:$H$253,"Tied out"))&gt;0,"Linked","MISSING DETAIL")))</f>
        <v/>
      </c>
      <c r="T45" s="58" t="str">
        <f t="shared" si="7"/>
        <v/>
      </c>
      <c r="U45" s="59" t="str">
        <f>IF($T45="","",COUNTIF($T$6:$T45,"?*"))</f>
        <v/>
      </c>
      <c r="V45" s="58" t="str">
        <f t="shared" si="8"/>
        <v/>
      </c>
    </row>
    <row r="46" spans="1:22" ht="12.95" customHeight="1" x14ac:dyDescent="0.25">
      <c r="A46" s="52" t="str">
        <f t="shared" si="0"/>
        <v/>
      </c>
      <c r="B46" s="37"/>
      <c r="C46" s="28"/>
      <c r="D46" s="35"/>
      <c r="E46" s="38"/>
      <c r="F46" s="38"/>
      <c r="G46" s="52" t="str">
        <f t="shared" si="1"/>
        <v/>
      </c>
      <c r="H46" s="53" t="str">
        <f t="shared" si="2"/>
        <v/>
      </c>
      <c r="I46" s="40"/>
      <c r="J46" s="54" t="str">
        <f t="shared" si="3"/>
        <v/>
      </c>
      <c r="K46" s="41" t="str">
        <f t="shared" si="4"/>
        <v/>
      </c>
      <c r="L46" s="55"/>
      <c r="M46" s="56">
        <f t="shared" si="5"/>
        <v>0</v>
      </c>
      <c r="N46" s="56">
        <f t="shared" si="6"/>
        <v>0</v>
      </c>
      <c r="O46" s="57"/>
      <c r="P46" s="40"/>
      <c r="Q46" s="52" t="str">
        <f>IF($D46="","",IF($K46&lt;&gt;"Balance Sheet / Clearing","-",IF(SUMPRODUCT(--(LEFT('7. Settlements'!$J$8:$J$107,7)=$A46),--('7. Settlements'!$M$8:$M$107="Tied out"))+SUMPRODUCT(--(LEFT('8. Transfers'!$H$9:$H$108,7)=$A46),--('8. Transfers'!$J$9:$J$108="Matched"))+SUMPRODUCT(--(LEFT('8. Transfers'!$I$9:$I$108,7)=$A46),--('8. Transfers'!$J$9:$J$108="Matched"))+IF($O46="",0,COUNTIFS('9. Payroll Allocation'!$B$234:$B$253,$O46,'9. Payroll Allocation'!$H$234:$H$253,"Tied out"))&gt;0,"Linked","MISSING DETAIL")))</f>
        <v/>
      </c>
      <c r="T46" s="58" t="str">
        <f t="shared" si="7"/>
        <v/>
      </c>
      <c r="U46" s="59" t="str">
        <f>IF($T46="","",COUNTIF($T$6:$T46,"?*"))</f>
        <v/>
      </c>
      <c r="V46" s="58" t="str">
        <f t="shared" si="8"/>
        <v/>
      </c>
    </row>
    <row r="47" spans="1:22" ht="12.95" customHeight="1" x14ac:dyDescent="0.25">
      <c r="A47" s="60" t="str">
        <f t="shared" si="0"/>
        <v/>
      </c>
      <c r="B47" s="37"/>
      <c r="C47" s="28"/>
      <c r="D47" s="35"/>
      <c r="E47" s="38"/>
      <c r="F47" s="38"/>
      <c r="G47" s="60" t="str">
        <f t="shared" si="1"/>
        <v/>
      </c>
      <c r="H47" s="61" t="str">
        <f t="shared" si="2"/>
        <v/>
      </c>
      <c r="I47" s="40"/>
      <c r="J47" s="62" t="str">
        <f t="shared" si="3"/>
        <v/>
      </c>
      <c r="K47" s="45" t="str">
        <f t="shared" si="4"/>
        <v/>
      </c>
      <c r="L47" s="55"/>
      <c r="M47" s="63">
        <f t="shared" si="5"/>
        <v>0</v>
      </c>
      <c r="N47" s="63">
        <f t="shared" si="6"/>
        <v>0</v>
      </c>
      <c r="O47" s="57"/>
      <c r="P47" s="40"/>
      <c r="Q47" s="60" t="str">
        <f>IF($D47="","",IF($K47&lt;&gt;"Balance Sheet / Clearing","-",IF(SUMPRODUCT(--(LEFT('7. Settlements'!$J$8:$J$107,7)=$A47),--('7. Settlements'!$M$8:$M$107="Tied out"))+SUMPRODUCT(--(LEFT('8. Transfers'!$H$9:$H$108,7)=$A47),--('8. Transfers'!$J$9:$J$108="Matched"))+SUMPRODUCT(--(LEFT('8. Transfers'!$I$9:$I$108,7)=$A47),--('8. Transfers'!$J$9:$J$108="Matched"))+IF($O47="",0,COUNTIFS('9. Payroll Allocation'!$B$234:$B$253,$O47,'9. Payroll Allocation'!$H$234:$H$253,"Tied out"))&gt;0,"Linked","MISSING DETAIL")))</f>
        <v/>
      </c>
      <c r="T47" s="58" t="str">
        <f t="shared" si="7"/>
        <v/>
      </c>
      <c r="U47" s="59" t="str">
        <f>IF($T47="","",COUNTIF($T$6:$T47,"?*"))</f>
        <v/>
      </c>
      <c r="V47" s="58" t="str">
        <f t="shared" si="8"/>
        <v/>
      </c>
    </row>
    <row r="48" spans="1:22" ht="12.95" customHeight="1" x14ac:dyDescent="0.25">
      <c r="A48" s="52" t="str">
        <f t="shared" si="0"/>
        <v/>
      </c>
      <c r="B48" s="37"/>
      <c r="C48" s="28"/>
      <c r="D48" s="35"/>
      <c r="E48" s="38"/>
      <c r="F48" s="38"/>
      <c r="G48" s="52" t="str">
        <f t="shared" si="1"/>
        <v/>
      </c>
      <c r="H48" s="53" t="str">
        <f t="shared" si="2"/>
        <v/>
      </c>
      <c r="I48" s="40"/>
      <c r="J48" s="54" t="str">
        <f t="shared" si="3"/>
        <v/>
      </c>
      <c r="K48" s="41" t="str">
        <f t="shared" si="4"/>
        <v/>
      </c>
      <c r="L48" s="55"/>
      <c r="M48" s="56">
        <f t="shared" si="5"/>
        <v>0</v>
      </c>
      <c r="N48" s="56">
        <f t="shared" si="6"/>
        <v>0</v>
      </c>
      <c r="O48" s="57"/>
      <c r="P48" s="40"/>
      <c r="Q48" s="52" t="str">
        <f>IF($D48="","",IF($K48&lt;&gt;"Balance Sheet / Clearing","-",IF(SUMPRODUCT(--(LEFT('7. Settlements'!$J$8:$J$107,7)=$A48),--('7. Settlements'!$M$8:$M$107="Tied out"))+SUMPRODUCT(--(LEFT('8. Transfers'!$H$9:$H$108,7)=$A48),--('8. Transfers'!$J$9:$J$108="Matched"))+SUMPRODUCT(--(LEFT('8. Transfers'!$I$9:$I$108,7)=$A48),--('8. Transfers'!$J$9:$J$108="Matched"))+IF($O48="",0,COUNTIFS('9. Payroll Allocation'!$B$234:$B$253,$O48,'9. Payroll Allocation'!$H$234:$H$253,"Tied out"))&gt;0,"Linked","MISSING DETAIL")))</f>
        <v/>
      </c>
      <c r="T48" s="58" t="str">
        <f t="shared" si="7"/>
        <v/>
      </c>
      <c r="U48" s="59" t="str">
        <f>IF($T48="","",COUNTIF($T$6:$T48,"?*"))</f>
        <v/>
      </c>
      <c r="V48" s="58" t="str">
        <f t="shared" si="8"/>
        <v/>
      </c>
    </row>
    <row r="49" spans="1:22" ht="12.95" customHeight="1" x14ac:dyDescent="0.25">
      <c r="A49" s="60" t="str">
        <f t="shared" si="0"/>
        <v/>
      </c>
      <c r="B49" s="37"/>
      <c r="C49" s="28"/>
      <c r="D49" s="35"/>
      <c r="E49" s="38"/>
      <c r="F49" s="38"/>
      <c r="G49" s="60" t="str">
        <f t="shared" si="1"/>
        <v/>
      </c>
      <c r="H49" s="61" t="str">
        <f t="shared" si="2"/>
        <v/>
      </c>
      <c r="I49" s="40"/>
      <c r="J49" s="62" t="str">
        <f t="shared" si="3"/>
        <v/>
      </c>
      <c r="K49" s="45" t="str">
        <f t="shared" si="4"/>
        <v/>
      </c>
      <c r="L49" s="55"/>
      <c r="M49" s="63">
        <f t="shared" si="5"/>
        <v>0</v>
      </c>
      <c r="N49" s="63">
        <f t="shared" si="6"/>
        <v>0</v>
      </c>
      <c r="O49" s="57"/>
      <c r="P49" s="40"/>
      <c r="Q49" s="60" t="str">
        <f>IF($D49="","",IF($K49&lt;&gt;"Balance Sheet / Clearing","-",IF(SUMPRODUCT(--(LEFT('7. Settlements'!$J$8:$J$107,7)=$A49),--('7. Settlements'!$M$8:$M$107="Tied out"))+SUMPRODUCT(--(LEFT('8. Transfers'!$H$9:$H$108,7)=$A49),--('8. Transfers'!$J$9:$J$108="Matched"))+SUMPRODUCT(--(LEFT('8. Transfers'!$I$9:$I$108,7)=$A49),--('8. Transfers'!$J$9:$J$108="Matched"))+IF($O49="",0,COUNTIFS('9. Payroll Allocation'!$B$234:$B$253,$O49,'9. Payroll Allocation'!$H$234:$H$253,"Tied out"))&gt;0,"Linked","MISSING DETAIL")))</f>
        <v/>
      </c>
      <c r="T49" s="58" t="str">
        <f t="shared" si="7"/>
        <v/>
      </c>
      <c r="U49" s="59" t="str">
        <f>IF($T49="","",COUNTIF($T$6:$T49,"?*"))</f>
        <v/>
      </c>
      <c r="V49" s="58" t="str">
        <f t="shared" si="8"/>
        <v/>
      </c>
    </row>
    <row r="50" spans="1:22" ht="12.95" customHeight="1" x14ac:dyDescent="0.25">
      <c r="A50" s="52" t="str">
        <f t="shared" si="0"/>
        <v/>
      </c>
      <c r="B50" s="37"/>
      <c r="C50" s="28"/>
      <c r="D50" s="35"/>
      <c r="E50" s="38"/>
      <c r="F50" s="38"/>
      <c r="G50" s="52" t="str">
        <f t="shared" si="1"/>
        <v/>
      </c>
      <c r="H50" s="53" t="str">
        <f t="shared" si="2"/>
        <v/>
      </c>
      <c r="I50" s="40"/>
      <c r="J50" s="54" t="str">
        <f t="shared" si="3"/>
        <v/>
      </c>
      <c r="K50" s="41" t="str">
        <f t="shared" si="4"/>
        <v/>
      </c>
      <c r="L50" s="55"/>
      <c r="M50" s="56">
        <f t="shared" si="5"/>
        <v>0</v>
      </c>
      <c r="N50" s="56">
        <f t="shared" si="6"/>
        <v>0</v>
      </c>
      <c r="O50" s="57"/>
      <c r="P50" s="40"/>
      <c r="Q50" s="52" t="str">
        <f>IF($D50="","",IF($K50&lt;&gt;"Balance Sheet / Clearing","-",IF(SUMPRODUCT(--(LEFT('7. Settlements'!$J$8:$J$107,7)=$A50),--('7. Settlements'!$M$8:$M$107="Tied out"))+SUMPRODUCT(--(LEFT('8. Transfers'!$H$9:$H$108,7)=$A50),--('8. Transfers'!$J$9:$J$108="Matched"))+SUMPRODUCT(--(LEFT('8. Transfers'!$I$9:$I$108,7)=$A50),--('8. Transfers'!$J$9:$J$108="Matched"))+IF($O50="",0,COUNTIFS('9. Payroll Allocation'!$B$234:$B$253,$O50,'9. Payroll Allocation'!$H$234:$H$253,"Tied out"))&gt;0,"Linked","MISSING DETAIL")))</f>
        <v/>
      </c>
      <c r="T50" s="58" t="str">
        <f t="shared" si="7"/>
        <v/>
      </c>
      <c r="U50" s="59" t="str">
        <f>IF($T50="","",COUNTIF($T$6:$T50,"?*"))</f>
        <v/>
      </c>
      <c r="V50" s="58" t="str">
        <f t="shared" si="8"/>
        <v/>
      </c>
    </row>
    <row r="51" spans="1:22" ht="12.95" customHeight="1" x14ac:dyDescent="0.25">
      <c r="A51" s="60" t="str">
        <f t="shared" si="0"/>
        <v/>
      </c>
      <c r="B51" s="37"/>
      <c r="C51" s="28"/>
      <c r="D51" s="35"/>
      <c r="E51" s="38"/>
      <c r="F51" s="38"/>
      <c r="G51" s="60" t="str">
        <f t="shared" si="1"/>
        <v/>
      </c>
      <c r="H51" s="61" t="str">
        <f t="shared" si="2"/>
        <v/>
      </c>
      <c r="I51" s="40"/>
      <c r="J51" s="62" t="str">
        <f t="shared" si="3"/>
        <v/>
      </c>
      <c r="K51" s="45" t="str">
        <f t="shared" si="4"/>
        <v/>
      </c>
      <c r="L51" s="55"/>
      <c r="M51" s="63">
        <f t="shared" si="5"/>
        <v>0</v>
      </c>
      <c r="N51" s="63">
        <f t="shared" si="6"/>
        <v>0</v>
      </c>
      <c r="O51" s="57"/>
      <c r="P51" s="40"/>
      <c r="Q51" s="60" t="str">
        <f>IF($D51="","",IF($K51&lt;&gt;"Balance Sheet / Clearing","-",IF(SUMPRODUCT(--(LEFT('7. Settlements'!$J$8:$J$107,7)=$A51),--('7. Settlements'!$M$8:$M$107="Tied out"))+SUMPRODUCT(--(LEFT('8. Transfers'!$H$9:$H$108,7)=$A51),--('8. Transfers'!$J$9:$J$108="Matched"))+SUMPRODUCT(--(LEFT('8. Transfers'!$I$9:$I$108,7)=$A51),--('8. Transfers'!$J$9:$J$108="Matched"))+IF($O51="",0,COUNTIFS('9. Payroll Allocation'!$B$234:$B$253,$O51,'9. Payroll Allocation'!$H$234:$H$253,"Tied out"))&gt;0,"Linked","MISSING DETAIL")))</f>
        <v/>
      </c>
      <c r="T51" s="58" t="str">
        <f t="shared" si="7"/>
        <v/>
      </c>
      <c r="U51" s="59" t="str">
        <f>IF($T51="","",COUNTIF($T$6:$T51,"?*"))</f>
        <v/>
      </c>
      <c r="V51" s="58" t="str">
        <f t="shared" si="8"/>
        <v/>
      </c>
    </row>
    <row r="52" spans="1:22" ht="12.95" customHeight="1" x14ac:dyDescent="0.25">
      <c r="A52" s="52" t="str">
        <f t="shared" si="0"/>
        <v/>
      </c>
      <c r="B52" s="37"/>
      <c r="C52" s="28"/>
      <c r="D52" s="35"/>
      <c r="E52" s="38"/>
      <c r="F52" s="38"/>
      <c r="G52" s="52" t="str">
        <f t="shared" si="1"/>
        <v/>
      </c>
      <c r="H52" s="53" t="str">
        <f t="shared" si="2"/>
        <v/>
      </c>
      <c r="I52" s="40"/>
      <c r="J52" s="54" t="str">
        <f t="shared" si="3"/>
        <v/>
      </c>
      <c r="K52" s="41" t="str">
        <f t="shared" si="4"/>
        <v/>
      </c>
      <c r="L52" s="55"/>
      <c r="M52" s="56">
        <f t="shared" si="5"/>
        <v>0</v>
      </c>
      <c r="N52" s="56">
        <f t="shared" si="6"/>
        <v>0</v>
      </c>
      <c r="O52" s="57"/>
      <c r="P52" s="40"/>
      <c r="Q52" s="52" t="str">
        <f>IF($D52="","",IF($K52&lt;&gt;"Balance Sheet / Clearing","-",IF(SUMPRODUCT(--(LEFT('7. Settlements'!$J$8:$J$107,7)=$A52),--('7. Settlements'!$M$8:$M$107="Tied out"))+SUMPRODUCT(--(LEFT('8. Transfers'!$H$9:$H$108,7)=$A52),--('8. Transfers'!$J$9:$J$108="Matched"))+SUMPRODUCT(--(LEFT('8. Transfers'!$I$9:$I$108,7)=$A52),--('8. Transfers'!$J$9:$J$108="Matched"))+IF($O52="",0,COUNTIFS('9. Payroll Allocation'!$B$234:$B$253,$O52,'9. Payroll Allocation'!$H$234:$H$253,"Tied out"))&gt;0,"Linked","MISSING DETAIL")))</f>
        <v/>
      </c>
      <c r="T52" s="58" t="str">
        <f t="shared" si="7"/>
        <v/>
      </c>
      <c r="U52" s="59" t="str">
        <f>IF($T52="","",COUNTIF($T$6:$T52,"?*"))</f>
        <v/>
      </c>
      <c r="V52" s="58" t="str">
        <f t="shared" si="8"/>
        <v/>
      </c>
    </row>
    <row r="53" spans="1:22" ht="12.95" customHeight="1" x14ac:dyDescent="0.25">
      <c r="A53" s="60" t="str">
        <f t="shared" si="0"/>
        <v/>
      </c>
      <c r="B53" s="37"/>
      <c r="C53" s="28"/>
      <c r="D53" s="35"/>
      <c r="E53" s="38"/>
      <c r="F53" s="38"/>
      <c r="G53" s="60" t="str">
        <f t="shared" si="1"/>
        <v/>
      </c>
      <c r="H53" s="61" t="str">
        <f t="shared" si="2"/>
        <v/>
      </c>
      <c r="I53" s="40"/>
      <c r="J53" s="62" t="str">
        <f t="shared" si="3"/>
        <v/>
      </c>
      <c r="K53" s="45" t="str">
        <f t="shared" si="4"/>
        <v/>
      </c>
      <c r="L53" s="55"/>
      <c r="M53" s="63">
        <f t="shared" si="5"/>
        <v>0</v>
      </c>
      <c r="N53" s="63">
        <f t="shared" si="6"/>
        <v>0</v>
      </c>
      <c r="O53" s="57"/>
      <c r="P53" s="40"/>
      <c r="Q53" s="60" t="str">
        <f>IF($D53="","",IF($K53&lt;&gt;"Balance Sheet / Clearing","-",IF(SUMPRODUCT(--(LEFT('7. Settlements'!$J$8:$J$107,7)=$A53),--('7. Settlements'!$M$8:$M$107="Tied out"))+SUMPRODUCT(--(LEFT('8. Transfers'!$H$9:$H$108,7)=$A53),--('8. Transfers'!$J$9:$J$108="Matched"))+SUMPRODUCT(--(LEFT('8. Transfers'!$I$9:$I$108,7)=$A53),--('8. Transfers'!$J$9:$J$108="Matched"))+IF($O53="",0,COUNTIFS('9. Payroll Allocation'!$B$234:$B$253,$O53,'9. Payroll Allocation'!$H$234:$H$253,"Tied out"))&gt;0,"Linked","MISSING DETAIL")))</f>
        <v/>
      </c>
      <c r="T53" s="58" t="str">
        <f t="shared" si="7"/>
        <v/>
      </c>
      <c r="U53" s="59" t="str">
        <f>IF($T53="","",COUNTIF($T$6:$T53,"?*"))</f>
        <v/>
      </c>
      <c r="V53" s="58" t="str">
        <f t="shared" si="8"/>
        <v/>
      </c>
    </row>
    <row r="54" spans="1:22" ht="12.95" customHeight="1" x14ac:dyDescent="0.25">
      <c r="A54" s="52" t="str">
        <f t="shared" si="0"/>
        <v/>
      </c>
      <c r="B54" s="37"/>
      <c r="C54" s="28"/>
      <c r="D54" s="35"/>
      <c r="E54" s="38"/>
      <c r="F54" s="38"/>
      <c r="G54" s="52" t="str">
        <f t="shared" si="1"/>
        <v/>
      </c>
      <c r="H54" s="53" t="str">
        <f t="shared" si="2"/>
        <v/>
      </c>
      <c r="I54" s="40"/>
      <c r="J54" s="54" t="str">
        <f t="shared" si="3"/>
        <v/>
      </c>
      <c r="K54" s="41" t="str">
        <f t="shared" si="4"/>
        <v/>
      </c>
      <c r="L54" s="55"/>
      <c r="M54" s="56">
        <f t="shared" si="5"/>
        <v>0</v>
      </c>
      <c r="N54" s="56">
        <f t="shared" si="6"/>
        <v>0</v>
      </c>
      <c r="O54" s="57"/>
      <c r="P54" s="40"/>
      <c r="Q54" s="52" t="str">
        <f>IF($D54="","",IF($K54&lt;&gt;"Balance Sheet / Clearing","-",IF(SUMPRODUCT(--(LEFT('7. Settlements'!$J$8:$J$107,7)=$A54),--('7. Settlements'!$M$8:$M$107="Tied out"))+SUMPRODUCT(--(LEFT('8. Transfers'!$H$9:$H$108,7)=$A54),--('8. Transfers'!$J$9:$J$108="Matched"))+SUMPRODUCT(--(LEFT('8. Transfers'!$I$9:$I$108,7)=$A54),--('8. Transfers'!$J$9:$J$108="Matched"))+IF($O54="",0,COUNTIFS('9. Payroll Allocation'!$B$234:$B$253,$O54,'9. Payroll Allocation'!$H$234:$H$253,"Tied out"))&gt;0,"Linked","MISSING DETAIL")))</f>
        <v/>
      </c>
      <c r="T54" s="58" t="str">
        <f t="shared" si="7"/>
        <v/>
      </c>
      <c r="U54" s="59" t="str">
        <f>IF($T54="","",COUNTIF($T$6:$T54,"?*"))</f>
        <v/>
      </c>
      <c r="V54" s="58" t="str">
        <f t="shared" si="8"/>
        <v/>
      </c>
    </row>
    <row r="55" spans="1:22" ht="12.95" customHeight="1" x14ac:dyDescent="0.25">
      <c r="A55" s="60" t="str">
        <f t="shared" si="0"/>
        <v/>
      </c>
      <c r="B55" s="37"/>
      <c r="C55" s="28"/>
      <c r="D55" s="35"/>
      <c r="E55" s="38"/>
      <c r="F55" s="38"/>
      <c r="G55" s="60" t="str">
        <f t="shared" si="1"/>
        <v/>
      </c>
      <c r="H55" s="61" t="str">
        <f t="shared" si="2"/>
        <v/>
      </c>
      <c r="I55" s="40"/>
      <c r="J55" s="62" t="str">
        <f t="shared" si="3"/>
        <v/>
      </c>
      <c r="K55" s="45" t="str">
        <f t="shared" si="4"/>
        <v/>
      </c>
      <c r="L55" s="55"/>
      <c r="M55" s="63">
        <f t="shared" si="5"/>
        <v>0</v>
      </c>
      <c r="N55" s="63">
        <f t="shared" si="6"/>
        <v>0</v>
      </c>
      <c r="O55" s="57"/>
      <c r="P55" s="40"/>
      <c r="Q55" s="60" t="str">
        <f>IF($D55="","",IF($K55&lt;&gt;"Balance Sheet / Clearing","-",IF(SUMPRODUCT(--(LEFT('7. Settlements'!$J$8:$J$107,7)=$A55),--('7. Settlements'!$M$8:$M$107="Tied out"))+SUMPRODUCT(--(LEFT('8. Transfers'!$H$9:$H$108,7)=$A55),--('8. Transfers'!$J$9:$J$108="Matched"))+SUMPRODUCT(--(LEFT('8. Transfers'!$I$9:$I$108,7)=$A55),--('8. Transfers'!$J$9:$J$108="Matched"))+IF($O55="",0,COUNTIFS('9. Payroll Allocation'!$B$234:$B$253,$O55,'9. Payroll Allocation'!$H$234:$H$253,"Tied out"))&gt;0,"Linked","MISSING DETAIL")))</f>
        <v/>
      </c>
      <c r="T55" s="58" t="str">
        <f t="shared" si="7"/>
        <v/>
      </c>
      <c r="U55" s="59" t="str">
        <f>IF($T55="","",COUNTIF($T$6:$T55,"?*"))</f>
        <v/>
      </c>
      <c r="V55" s="58" t="str">
        <f t="shared" si="8"/>
        <v/>
      </c>
    </row>
    <row r="56" spans="1:22" ht="12.95" customHeight="1" x14ac:dyDescent="0.25">
      <c r="A56" s="52" t="str">
        <f t="shared" si="0"/>
        <v/>
      </c>
      <c r="B56" s="37"/>
      <c r="C56" s="28"/>
      <c r="D56" s="35"/>
      <c r="E56" s="38"/>
      <c r="F56" s="38"/>
      <c r="G56" s="52" t="str">
        <f t="shared" si="1"/>
        <v/>
      </c>
      <c r="H56" s="53" t="str">
        <f t="shared" si="2"/>
        <v/>
      </c>
      <c r="I56" s="40"/>
      <c r="J56" s="54" t="str">
        <f t="shared" si="3"/>
        <v/>
      </c>
      <c r="K56" s="41" t="str">
        <f t="shared" si="4"/>
        <v/>
      </c>
      <c r="L56" s="55"/>
      <c r="M56" s="56">
        <f t="shared" si="5"/>
        <v>0</v>
      </c>
      <c r="N56" s="56">
        <f t="shared" si="6"/>
        <v>0</v>
      </c>
      <c r="O56" s="57"/>
      <c r="P56" s="40"/>
      <c r="Q56" s="52" t="str">
        <f>IF($D56="","",IF($K56&lt;&gt;"Balance Sheet / Clearing","-",IF(SUMPRODUCT(--(LEFT('7. Settlements'!$J$8:$J$107,7)=$A56),--('7. Settlements'!$M$8:$M$107="Tied out"))+SUMPRODUCT(--(LEFT('8. Transfers'!$H$9:$H$108,7)=$A56),--('8. Transfers'!$J$9:$J$108="Matched"))+SUMPRODUCT(--(LEFT('8. Transfers'!$I$9:$I$108,7)=$A56),--('8. Transfers'!$J$9:$J$108="Matched"))+IF($O56="",0,COUNTIFS('9. Payroll Allocation'!$B$234:$B$253,$O56,'9. Payroll Allocation'!$H$234:$H$253,"Tied out"))&gt;0,"Linked","MISSING DETAIL")))</f>
        <v/>
      </c>
      <c r="T56" s="58" t="str">
        <f t="shared" si="7"/>
        <v/>
      </c>
      <c r="U56" s="59" t="str">
        <f>IF($T56="","",COUNTIF($T$6:$T56,"?*"))</f>
        <v/>
      </c>
      <c r="V56" s="58" t="str">
        <f t="shared" si="8"/>
        <v/>
      </c>
    </row>
    <row r="57" spans="1:22" ht="12.95" customHeight="1" x14ac:dyDescent="0.25">
      <c r="A57" s="60" t="str">
        <f t="shared" si="0"/>
        <v/>
      </c>
      <c r="B57" s="37"/>
      <c r="C57" s="28"/>
      <c r="D57" s="35"/>
      <c r="E57" s="38"/>
      <c r="F57" s="38"/>
      <c r="G57" s="60" t="str">
        <f t="shared" si="1"/>
        <v/>
      </c>
      <c r="H57" s="61" t="str">
        <f t="shared" si="2"/>
        <v/>
      </c>
      <c r="I57" s="40"/>
      <c r="J57" s="62" t="str">
        <f t="shared" si="3"/>
        <v/>
      </c>
      <c r="K57" s="45" t="str">
        <f t="shared" si="4"/>
        <v/>
      </c>
      <c r="L57" s="55"/>
      <c r="M57" s="63">
        <f t="shared" si="5"/>
        <v>0</v>
      </c>
      <c r="N57" s="63">
        <f t="shared" si="6"/>
        <v>0</v>
      </c>
      <c r="O57" s="57"/>
      <c r="P57" s="40"/>
      <c r="Q57" s="60" t="str">
        <f>IF($D57="","",IF($K57&lt;&gt;"Balance Sheet / Clearing","-",IF(SUMPRODUCT(--(LEFT('7. Settlements'!$J$8:$J$107,7)=$A57),--('7. Settlements'!$M$8:$M$107="Tied out"))+SUMPRODUCT(--(LEFT('8. Transfers'!$H$9:$H$108,7)=$A57),--('8. Transfers'!$J$9:$J$108="Matched"))+SUMPRODUCT(--(LEFT('8. Transfers'!$I$9:$I$108,7)=$A57),--('8. Transfers'!$J$9:$J$108="Matched"))+IF($O57="",0,COUNTIFS('9. Payroll Allocation'!$B$234:$B$253,$O57,'9. Payroll Allocation'!$H$234:$H$253,"Tied out"))&gt;0,"Linked","MISSING DETAIL")))</f>
        <v/>
      </c>
      <c r="T57" s="58" t="str">
        <f t="shared" si="7"/>
        <v/>
      </c>
      <c r="U57" s="59" t="str">
        <f>IF($T57="","",COUNTIF($T$6:$T57,"?*"))</f>
        <v/>
      </c>
      <c r="V57" s="58" t="str">
        <f t="shared" si="8"/>
        <v/>
      </c>
    </row>
    <row r="58" spans="1:22" ht="12.95" customHeight="1" x14ac:dyDescent="0.25">
      <c r="A58" s="52" t="str">
        <f t="shared" si="0"/>
        <v/>
      </c>
      <c r="B58" s="37"/>
      <c r="C58" s="28"/>
      <c r="D58" s="35"/>
      <c r="E58" s="38"/>
      <c r="F58" s="38"/>
      <c r="G58" s="52" t="str">
        <f t="shared" si="1"/>
        <v/>
      </c>
      <c r="H58" s="53" t="str">
        <f t="shared" si="2"/>
        <v/>
      </c>
      <c r="I58" s="40"/>
      <c r="J58" s="54" t="str">
        <f t="shared" si="3"/>
        <v/>
      </c>
      <c r="K58" s="41" t="str">
        <f t="shared" si="4"/>
        <v/>
      </c>
      <c r="L58" s="55"/>
      <c r="M58" s="56">
        <f t="shared" si="5"/>
        <v>0</v>
      </c>
      <c r="N58" s="56">
        <f t="shared" si="6"/>
        <v>0</v>
      </c>
      <c r="O58" s="57"/>
      <c r="P58" s="40"/>
      <c r="Q58" s="52" t="str">
        <f>IF($D58="","",IF($K58&lt;&gt;"Balance Sheet / Clearing","-",IF(SUMPRODUCT(--(LEFT('7. Settlements'!$J$8:$J$107,7)=$A58),--('7. Settlements'!$M$8:$M$107="Tied out"))+SUMPRODUCT(--(LEFT('8. Transfers'!$H$9:$H$108,7)=$A58),--('8. Transfers'!$J$9:$J$108="Matched"))+SUMPRODUCT(--(LEFT('8. Transfers'!$I$9:$I$108,7)=$A58),--('8. Transfers'!$J$9:$J$108="Matched"))+IF($O58="",0,COUNTIFS('9. Payroll Allocation'!$B$234:$B$253,$O58,'9. Payroll Allocation'!$H$234:$H$253,"Tied out"))&gt;0,"Linked","MISSING DETAIL")))</f>
        <v/>
      </c>
      <c r="T58" s="58" t="str">
        <f t="shared" si="7"/>
        <v/>
      </c>
      <c r="U58" s="59" t="str">
        <f>IF($T58="","",COUNTIF($T$6:$T58,"?*"))</f>
        <v/>
      </c>
      <c r="V58" s="58" t="str">
        <f t="shared" si="8"/>
        <v/>
      </c>
    </row>
    <row r="59" spans="1:22" ht="12.95" customHeight="1" x14ac:dyDescent="0.25">
      <c r="A59" s="60" t="str">
        <f t="shared" si="0"/>
        <v/>
      </c>
      <c r="B59" s="37"/>
      <c r="C59" s="28"/>
      <c r="D59" s="35"/>
      <c r="E59" s="38"/>
      <c r="F59" s="38"/>
      <c r="G59" s="60" t="str">
        <f t="shared" si="1"/>
        <v/>
      </c>
      <c r="H59" s="61" t="str">
        <f t="shared" si="2"/>
        <v/>
      </c>
      <c r="I59" s="40"/>
      <c r="J59" s="62" t="str">
        <f t="shared" si="3"/>
        <v/>
      </c>
      <c r="K59" s="45" t="str">
        <f t="shared" si="4"/>
        <v/>
      </c>
      <c r="L59" s="55"/>
      <c r="M59" s="63">
        <f t="shared" si="5"/>
        <v>0</v>
      </c>
      <c r="N59" s="63">
        <f t="shared" si="6"/>
        <v>0</v>
      </c>
      <c r="O59" s="57"/>
      <c r="P59" s="40"/>
      <c r="Q59" s="60" t="str">
        <f>IF($D59="","",IF($K59&lt;&gt;"Balance Sheet / Clearing","-",IF(SUMPRODUCT(--(LEFT('7. Settlements'!$J$8:$J$107,7)=$A59),--('7. Settlements'!$M$8:$M$107="Tied out"))+SUMPRODUCT(--(LEFT('8. Transfers'!$H$9:$H$108,7)=$A59),--('8. Transfers'!$J$9:$J$108="Matched"))+SUMPRODUCT(--(LEFT('8. Transfers'!$I$9:$I$108,7)=$A59),--('8. Transfers'!$J$9:$J$108="Matched"))+IF($O59="",0,COUNTIFS('9. Payroll Allocation'!$B$234:$B$253,$O59,'9. Payroll Allocation'!$H$234:$H$253,"Tied out"))&gt;0,"Linked","MISSING DETAIL")))</f>
        <v/>
      </c>
      <c r="T59" s="58" t="str">
        <f t="shared" si="7"/>
        <v/>
      </c>
      <c r="U59" s="59" t="str">
        <f>IF($T59="","",COUNTIF($T$6:$T59,"?*"))</f>
        <v/>
      </c>
      <c r="V59" s="58" t="str">
        <f t="shared" si="8"/>
        <v/>
      </c>
    </row>
    <row r="60" spans="1:22" ht="12.95" customHeight="1" x14ac:dyDescent="0.25">
      <c r="A60" s="52" t="str">
        <f t="shared" si="0"/>
        <v/>
      </c>
      <c r="B60" s="37"/>
      <c r="C60" s="28"/>
      <c r="D60" s="35"/>
      <c r="E60" s="38"/>
      <c r="F60" s="38"/>
      <c r="G60" s="52" t="str">
        <f t="shared" si="1"/>
        <v/>
      </c>
      <c r="H60" s="53" t="str">
        <f t="shared" si="2"/>
        <v/>
      </c>
      <c r="I60" s="40"/>
      <c r="J60" s="54" t="str">
        <f t="shared" si="3"/>
        <v/>
      </c>
      <c r="K60" s="41" t="str">
        <f t="shared" si="4"/>
        <v/>
      </c>
      <c r="L60" s="55"/>
      <c r="M60" s="56">
        <f t="shared" si="5"/>
        <v>0</v>
      </c>
      <c r="N60" s="56">
        <f t="shared" si="6"/>
        <v>0</v>
      </c>
      <c r="O60" s="57"/>
      <c r="P60" s="40"/>
      <c r="Q60" s="52" t="str">
        <f>IF($D60="","",IF($K60&lt;&gt;"Balance Sheet / Clearing","-",IF(SUMPRODUCT(--(LEFT('7. Settlements'!$J$8:$J$107,7)=$A60),--('7. Settlements'!$M$8:$M$107="Tied out"))+SUMPRODUCT(--(LEFT('8. Transfers'!$H$9:$H$108,7)=$A60),--('8. Transfers'!$J$9:$J$108="Matched"))+SUMPRODUCT(--(LEFT('8. Transfers'!$I$9:$I$108,7)=$A60),--('8. Transfers'!$J$9:$J$108="Matched"))+IF($O60="",0,COUNTIFS('9. Payroll Allocation'!$B$234:$B$253,$O60,'9. Payroll Allocation'!$H$234:$H$253,"Tied out"))&gt;0,"Linked","MISSING DETAIL")))</f>
        <v/>
      </c>
      <c r="T60" s="58" t="str">
        <f t="shared" si="7"/>
        <v/>
      </c>
      <c r="U60" s="59" t="str">
        <f>IF($T60="","",COUNTIF($T$6:$T60,"?*"))</f>
        <v/>
      </c>
      <c r="V60" s="58" t="str">
        <f t="shared" si="8"/>
        <v/>
      </c>
    </row>
    <row r="61" spans="1:22" ht="12.95" customHeight="1" x14ac:dyDescent="0.25">
      <c r="A61" s="60" t="str">
        <f t="shared" si="0"/>
        <v/>
      </c>
      <c r="B61" s="37"/>
      <c r="C61" s="28"/>
      <c r="D61" s="35"/>
      <c r="E61" s="38"/>
      <c r="F61" s="38"/>
      <c r="G61" s="60" t="str">
        <f t="shared" si="1"/>
        <v/>
      </c>
      <c r="H61" s="61" t="str">
        <f t="shared" si="2"/>
        <v/>
      </c>
      <c r="I61" s="40"/>
      <c r="J61" s="62" t="str">
        <f t="shared" si="3"/>
        <v/>
      </c>
      <c r="K61" s="45" t="str">
        <f t="shared" si="4"/>
        <v/>
      </c>
      <c r="L61" s="55"/>
      <c r="M61" s="63">
        <f t="shared" si="5"/>
        <v>0</v>
      </c>
      <c r="N61" s="63">
        <f t="shared" si="6"/>
        <v>0</v>
      </c>
      <c r="O61" s="57"/>
      <c r="P61" s="40"/>
      <c r="Q61" s="60" t="str">
        <f>IF($D61="","",IF($K61&lt;&gt;"Balance Sheet / Clearing","-",IF(SUMPRODUCT(--(LEFT('7. Settlements'!$J$8:$J$107,7)=$A61),--('7. Settlements'!$M$8:$M$107="Tied out"))+SUMPRODUCT(--(LEFT('8. Transfers'!$H$9:$H$108,7)=$A61),--('8. Transfers'!$J$9:$J$108="Matched"))+SUMPRODUCT(--(LEFT('8. Transfers'!$I$9:$I$108,7)=$A61),--('8. Transfers'!$J$9:$J$108="Matched"))+IF($O61="",0,COUNTIFS('9. Payroll Allocation'!$B$234:$B$253,$O61,'9. Payroll Allocation'!$H$234:$H$253,"Tied out"))&gt;0,"Linked","MISSING DETAIL")))</f>
        <v/>
      </c>
      <c r="T61" s="58" t="str">
        <f t="shared" si="7"/>
        <v/>
      </c>
      <c r="U61" s="59" t="str">
        <f>IF($T61="","",COUNTIF($T$6:$T61,"?*"))</f>
        <v/>
      </c>
      <c r="V61" s="58" t="str">
        <f t="shared" si="8"/>
        <v/>
      </c>
    </row>
    <row r="62" spans="1:22" ht="12.95" customHeight="1" x14ac:dyDescent="0.25">
      <c r="A62" s="52" t="str">
        <f t="shared" si="0"/>
        <v/>
      </c>
      <c r="B62" s="37"/>
      <c r="C62" s="28"/>
      <c r="D62" s="35"/>
      <c r="E62" s="38"/>
      <c r="F62" s="38"/>
      <c r="G62" s="52" t="str">
        <f t="shared" si="1"/>
        <v/>
      </c>
      <c r="H62" s="53" t="str">
        <f t="shared" si="2"/>
        <v/>
      </c>
      <c r="I62" s="40"/>
      <c r="J62" s="54" t="str">
        <f t="shared" si="3"/>
        <v/>
      </c>
      <c r="K62" s="41" t="str">
        <f t="shared" si="4"/>
        <v/>
      </c>
      <c r="L62" s="55"/>
      <c r="M62" s="56">
        <f t="shared" si="5"/>
        <v>0</v>
      </c>
      <c r="N62" s="56">
        <f t="shared" si="6"/>
        <v>0</v>
      </c>
      <c r="O62" s="57"/>
      <c r="P62" s="40"/>
      <c r="Q62" s="52" t="str">
        <f>IF($D62="","",IF($K62&lt;&gt;"Balance Sheet / Clearing","-",IF(SUMPRODUCT(--(LEFT('7. Settlements'!$J$8:$J$107,7)=$A62),--('7. Settlements'!$M$8:$M$107="Tied out"))+SUMPRODUCT(--(LEFT('8. Transfers'!$H$9:$H$108,7)=$A62),--('8. Transfers'!$J$9:$J$108="Matched"))+SUMPRODUCT(--(LEFT('8. Transfers'!$I$9:$I$108,7)=$A62),--('8. Transfers'!$J$9:$J$108="Matched"))+IF($O62="",0,COUNTIFS('9. Payroll Allocation'!$B$234:$B$253,$O62,'9. Payroll Allocation'!$H$234:$H$253,"Tied out"))&gt;0,"Linked","MISSING DETAIL")))</f>
        <v/>
      </c>
      <c r="T62" s="58" t="str">
        <f t="shared" si="7"/>
        <v/>
      </c>
      <c r="U62" s="59" t="str">
        <f>IF($T62="","",COUNTIF($T$6:$T62,"?*"))</f>
        <v/>
      </c>
      <c r="V62" s="58" t="str">
        <f t="shared" si="8"/>
        <v/>
      </c>
    </row>
    <row r="63" spans="1:22" ht="12.95" customHeight="1" x14ac:dyDescent="0.25">
      <c r="A63" s="60" t="str">
        <f t="shared" si="0"/>
        <v/>
      </c>
      <c r="B63" s="37"/>
      <c r="C63" s="28"/>
      <c r="D63" s="35"/>
      <c r="E63" s="38"/>
      <c r="F63" s="38"/>
      <c r="G63" s="60" t="str">
        <f t="shared" si="1"/>
        <v/>
      </c>
      <c r="H63" s="61" t="str">
        <f t="shared" si="2"/>
        <v/>
      </c>
      <c r="I63" s="40"/>
      <c r="J63" s="62" t="str">
        <f t="shared" si="3"/>
        <v/>
      </c>
      <c r="K63" s="45" t="str">
        <f t="shared" si="4"/>
        <v/>
      </c>
      <c r="L63" s="55"/>
      <c r="M63" s="63">
        <f t="shared" si="5"/>
        <v>0</v>
      </c>
      <c r="N63" s="63">
        <f t="shared" si="6"/>
        <v>0</v>
      </c>
      <c r="O63" s="57"/>
      <c r="P63" s="40"/>
      <c r="Q63" s="60" t="str">
        <f>IF($D63="","",IF($K63&lt;&gt;"Balance Sheet / Clearing","-",IF(SUMPRODUCT(--(LEFT('7. Settlements'!$J$8:$J$107,7)=$A63),--('7. Settlements'!$M$8:$M$107="Tied out"))+SUMPRODUCT(--(LEFT('8. Transfers'!$H$9:$H$108,7)=$A63),--('8. Transfers'!$J$9:$J$108="Matched"))+SUMPRODUCT(--(LEFT('8. Transfers'!$I$9:$I$108,7)=$A63),--('8. Transfers'!$J$9:$J$108="Matched"))+IF($O63="",0,COUNTIFS('9. Payroll Allocation'!$B$234:$B$253,$O63,'9. Payroll Allocation'!$H$234:$H$253,"Tied out"))&gt;0,"Linked","MISSING DETAIL")))</f>
        <v/>
      </c>
      <c r="T63" s="58" t="str">
        <f t="shared" si="7"/>
        <v/>
      </c>
      <c r="U63" s="59" t="str">
        <f>IF($T63="","",COUNTIF($T$6:$T63,"?*"))</f>
        <v/>
      </c>
      <c r="V63" s="58" t="str">
        <f t="shared" si="8"/>
        <v/>
      </c>
    </row>
    <row r="64" spans="1:22" ht="12.95" customHeight="1" x14ac:dyDescent="0.25">
      <c r="A64" s="52" t="str">
        <f t="shared" si="0"/>
        <v/>
      </c>
      <c r="B64" s="37"/>
      <c r="C64" s="28"/>
      <c r="D64" s="35"/>
      <c r="E64" s="38"/>
      <c r="F64" s="38"/>
      <c r="G64" s="52" t="str">
        <f t="shared" si="1"/>
        <v/>
      </c>
      <c r="H64" s="53" t="str">
        <f t="shared" si="2"/>
        <v/>
      </c>
      <c r="I64" s="40"/>
      <c r="J64" s="54" t="str">
        <f t="shared" si="3"/>
        <v/>
      </c>
      <c r="K64" s="41" t="str">
        <f t="shared" si="4"/>
        <v/>
      </c>
      <c r="L64" s="55"/>
      <c r="M64" s="56">
        <f t="shared" si="5"/>
        <v>0</v>
      </c>
      <c r="N64" s="56">
        <f t="shared" si="6"/>
        <v>0</v>
      </c>
      <c r="O64" s="57"/>
      <c r="P64" s="40"/>
      <c r="Q64" s="52" t="str">
        <f>IF($D64="","",IF($K64&lt;&gt;"Balance Sheet / Clearing","-",IF(SUMPRODUCT(--(LEFT('7. Settlements'!$J$8:$J$107,7)=$A64),--('7. Settlements'!$M$8:$M$107="Tied out"))+SUMPRODUCT(--(LEFT('8. Transfers'!$H$9:$H$108,7)=$A64),--('8. Transfers'!$J$9:$J$108="Matched"))+SUMPRODUCT(--(LEFT('8. Transfers'!$I$9:$I$108,7)=$A64),--('8. Transfers'!$J$9:$J$108="Matched"))+IF($O64="",0,COUNTIFS('9. Payroll Allocation'!$B$234:$B$253,$O64,'9. Payroll Allocation'!$H$234:$H$253,"Tied out"))&gt;0,"Linked","MISSING DETAIL")))</f>
        <v/>
      </c>
      <c r="T64" s="58" t="str">
        <f t="shared" si="7"/>
        <v/>
      </c>
      <c r="U64" s="59" t="str">
        <f>IF($T64="","",COUNTIF($T$6:$T64,"?*"))</f>
        <v/>
      </c>
      <c r="V64" s="58" t="str">
        <f t="shared" si="8"/>
        <v/>
      </c>
    </row>
    <row r="65" spans="1:22" ht="12.95" customHeight="1" x14ac:dyDescent="0.25">
      <c r="A65" s="60" t="str">
        <f t="shared" si="0"/>
        <v/>
      </c>
      <c r="B65" s="37"/>
      <c r="C65" s="28"/>
      <c r="D65" s="35"/>
      <c r="E65" s="38"/>
      <c r="F65" s="38"/>
      <c r="G65" s="60" t="str">
        <f t="shared" si="1"/>
        <v/>
      </c>
      <c r="H65" s="61" t="str">
        <f t="shared" si="2"/>
        <v/>
      </c>
      <c r="I65" s="40"/>
      <c r="J65" s="62" t="str">
        <f t="shared" si="3"/>
        <v/>
      </c>
      <c r="K65" s="45" t="str">
        <f t="shared" si="4"/>
        <v/>
      </c>
      <c r="L65" s="55"/>
      <c r="M65" s="63">
        <f t="shared" si="5"/>
        <v>0</v>
      </c>
      <c r="N65" s="63">
        <f t="shared" si="6"/>
        <v>0</v>
      </c>
      <c r="O65" s="57"/>
      <c r="P65" s="40"/>
      <c r="Q65" s="60" t="str">
        <f>IF($D65="","",IF($K65&lt;&gt;"Balance Sheet / Clearing","-",IF(SUMPRODUCT(--(LEFT('7. Settlements'!$J$8:$J$107,7)=$A65),--('7. Settlements'!$M$8:$M$107="Tied out"))+SUMPRODUCT(--(LEFT('8. Transfers'!$H$9:$H$108,7)=$A65),--('8. Transfers'!$J$9:$J$108="Matched"))+SUMPRODUCT(--(LEFT('8. Transfers'!$I$9:$I$108,7)=$A65),--('8. Transfers'!$J$9:$J$108="Matched"))+IF($O65="",0,COUNTIFS('9. Payroll Allocation'!$B$234:$B$253,$O65,'9. Payroll Allocation'!$H$234:$H$253,"Tied out"))&gt;0,"Linked","MISSING DETAIL")))</f>
        <v/>
      </c>
      <c r="T65" s="58" t="str">
        <f t="shared" si="7"/>
        <v/>
      </c>
      <c r="U65" s="59" t="str">
        <f>IF($T65="","",COUNTIF($T$6:$T65,"?*"))</f>
        <v/>
      </c>
      <c r="V65" s="58" t="str">
        <f t="shared" si="8"/>
        <v/>
      </c>
    </row>
    <row r="66" spans="1:22" ht="12.95" customHeight="1" x14ac:dyDescent="0.25">
      <c r="A66" s="52" t="str">
        <f t="shared" si="0"/>
        <v/>
      </c>
      <c r="B66" s="37"/>
      <c r="C66" s="28"/>
      <c r="D66" s="35"/>
      <c r="E66" s="38"/>
      <c r="F66" s="38"/>
      <c r="G66" s="52" t="str">
        <f t="shared" si="1"/>
        <v/>
      </c>
      <c r="H66" s="53" t="str">
        <f t="shared" si="2"/>
        <v/>
      </c>
      <c r="I66" s="40"/>
      <c r="J66" s="54" t="str">
        <f t="shared" si="3"/>
        <v/>
      </c>
      <c r="K66" s="41" t="str">
        <f t="shared" si="4"/>
        <v/>
      </c>
      <c r="L66" s="55"/>
      <c r="M66" s="56">
        <f t="shared" si="5"/>
        <v>0</v>
      </c>
      <c r="N66" s="56">
        <f t="shared" si="6"/>
        <v>0</v>
      </c>
      <c r="O66" s="57"/>
      <c r="P66" s="40"/>
      <c r="Q66" s="52" t="str">
        <f>IF($D66="","",IF($K66&lt;&gt;"Balance Sheet / Clearing","-",IF(SUMPRODUCT(--(LEFT('7. Settlements'!$J$8:$J$107,7)=$A66),--('7. Settlements'!$M$8:$M$107="Tied out"))+SUMPRODUCT(--(LEFT('8. Transfers'!$H$9:$H$108,7)=$A66),--('8. Transfers'!$J$9:$J$108="Matched"))+SUMPRODUCT(--(LEFT('8. Transfers'!$I$9:$I$108,7)=$A66),--('8. Transfers'!$J$9:$J$108="Matched"))+IF($O66="",0,COUNTIFS('9. Payroll Allocation'!$B$234:$B$253,$O66,'9. Payroll Allocation'!$H$234:$H$253,"Tied out"))&gt;0,"Linked","MISSING DETAIL")))</f>
        <v/>
      </c>
      <c r="T66" s="58" t="str">
        <f t="shared" si="7"/>
        <v/>
      </c>
      <c r="U66" s="59" t="str">
        <f>IF($T66="","",COUNTIF($T$6:$T66,"?*"))</f>
        <v/>
      </c>
      <c r="V66" s="58" t="str">
        <f t="shared" si="8"/>
        <v/>
      </c>
    </row>
    <row r="67" spans="1:22" ht="12.95" customHeight="1" x14ac:dyDescent="0.25">
      <c r="A67" s="60" t="str">
        <f t="shared" si="0"/>
        <v/>
      </c>
      <c r="B67" s="37"/>
      <c r="C67" s="28"/>
      <c r="D67" s="35"/>
      <c r="E67" s="38"/>
      <c r="F67" s="38"/>
      <c r="G67" s="60" t="str">
        <f t="shared" si="1"/>
        <v/>
      </c>
      <c r="H67" s="61" t="str">
        <f t="shared" si="2"/>
        <v/>
      </c>
      <c r="I67" s="40"/>
      <c r="J67" s="62" t="str">
        <f t="shared" si="3"/>
        <v/>
      </c>
      <c r="K67" s="45" t="str">
        <f t="shared" si="4"/>
        <v/>
      </c>
      <c r="L67" s="55"/>
      <c r="M67" s="63">
        <f t="shared" si="5"/>
        <v>0</v>
      </c>
      <c r="N67" s="63">
        <f t="shared" si="6"/>
        <v>0</v>
      </c>
      <c r="O67" s="57"/>
      <c r="P67" s="40"/>
      <c r="Q67" s="60" t="str">
        <f>IF($D67="","",IF($K67&lt;&gt;"Balance Sheet / Clearing","-",IF(SUMPRODUCT(--(LEFT('7. Settlements'!$J$8:$J$107,7)=$A67),--('7. Settlements'!$M$8:$M$107="Tied out"))+SUMPRODUCT(--(LEFT('8. Transfers'!$H$9:$H$108,7)=$A67),--('8. Transfers'!$J$9:$J$108="Matched"))+SUMPRODUCT(--(LEFT('8. Transfers'!$I$9:$I$108,7)=$A67),--('8. Transfers'!$J$9:$J$108="Matched"))+IF($O67="",0,COUNTIFS('9. Payroll Allocation'!$B$234:$B$253,$O67,'9. Payroll Allocation'!$H$234:$H$253,"Tied out"))&gt;0,"Linked","MISSING DETAIL")))</f>
        <v/>
      </c>
      <c r="T67" s="58" t="str">
        <f t="shared" si="7"/>
        <v/>
      </c>
      <c r="U67" s="59" t="str">
        <f>IF($T67="","",COUNTIF($T$6:$T67,"?*"))</f>
        <v/>
      </c>
      <c r="V67" s="58" t="str">
        <f t="shared" si="8"/>
        <v/>
      </c>
    </row>
    <row r="68" spans="1:22" ht="12.95" customHeight="1" x14ac:dyDescent="0.25">
      <c r="A68" s="52" t="str">
        <f t="shared" si="0"/>
        <v/>
      </c>
      <c r="B68" s="37"/>
      <c r="C68" s="28"/>
      <c r="D68" s="35"/>
      <c r="E68" s="38"/>
      <c r="F68" s="38"/>
      <c r="G68" s="52" t="str">
        <f t="shared" si="1"/>
        <v/>
      </c>
      <c r="H68" s="53" t="str">
        <f t="shared" si="2"/>
        <v/>
      </c>
      <c r="I68" s="40"/>
      <c r="J68" s="54" t="str">
        <f t="shared" si="3"/>
        <v/>
      </c>
      <c r="K68" s="41" t="str">
        <f t="shared" si="4"/>
        <v/>
      </c>
      <c r="L68" s="55"/>
      <c r="M68" s="56">
        <f t="shared" si="5"/>
        <v>0</v>
      </c>
      <c r="N68" s="56">
        <f t="shared" si="6"/>
        <v>0</v>
      </c>
      <c r="O68" s="57"/>
      <c r="P68" s="40"/>
      <c r="Q68" s="52" t="str">
        <f>IF($D68="","",IF($K68&lt;&gt;"Balance Sheet / Clearing","-",IF(SUMPRODUCT(--(LEFT('7. Settlements'!$J$8:$J$107,7)=$A68),--('7. Settlements'!$M$8:$M$107="Tied out"))+SUMPRODUCT(--(LEFT('8. Transfers'!$H$9:$H$108,7)=$A68),--('8. Transfers'!$J$9:$J$108="Matched"))+SUMPRODUCT(--(LEFT('8. Transfers'!$I$9:$I$108,7)=$A68),--('8. Transfers'!$J$9:$J$108="Matched"))+IF($O68="",0,COUNTIFS('9. Payroll Allocation'!$B$234:$B$253,$O68,'9. Payroll Allocation'!$H$234:$H$253,"Tied out"))&gt;0,"Linked","MISSING DETAIL")))</f>
        <v/>
      </c>
      <c r="T68" s="58" t="str">
        <f t="shared" si="7"/>
        <v/>
      </c>
      <c r="U68" s="59" t="str">
        <f>IF($T68="","",COUNTIF($T$6:$T68,"?*"))</f>
        <v/>
      </c>
      <c r="V68" s="58" t="str">
        <f t="shared" si="8"/>
        <v/>
      </c>
    </row>
    <row r="69" spans="1:22" ht="12.95" customHeight="1" x14ac:dyDescent="0.25">
      <c r="A69" s="60" t="str">
        <f t="shared" si="0"/>
        <v/>
      </c>
      <c r="B69" s="37"/>
      <c r="C69" s="28"/>
      <c r="D69" s="35"/>
      <c r="E69" s="38"/>
      <c r="F69" s="38"/>
      <c r="G69" s="60" t="str">
        <f t="shared" si="1"/>
        <v/>
      </c>
      <c r="H69" s="61" t="str">
        <f t="shared" si="2"/>
        <v/>
      </c>
      <c r="I69" s="40"/>
      <c r="J69" s="62" t="str">
        <f t="shared" si="3"/>
        <v/>
      </c>
      <c r="K69" s="45" t="str">
        <f t="shared" si="4"/>
        <v/>
      </c>
      <c r="L69" s="55"/>
      <c r="M69" s="63">
        <f t="shared" si="5"/>
        <v>0</v>
      </c>
      <c r="N69" s="63">
        <f t="shared" si="6"/>
        <v>0</v>
      </c>
      <c r="O69" s="57"/>
      <c r="P69" s="40"/>
      <c r="Q69" s="60" t="str">
        <f>IF($D69="","",IF($K69&lt;&gt;"Balance Sheet / Clearing","-",IF(SUMPRODUCT(--(LEFT('7. Settlements'!$J$8:$J$107,7)=$A69),--('7. Settlements'!$M$8:$M$107="Tied out"))+SUMPRODUCT(--(LEFT('8. Transfers'!$H$9:$H$108,7)=$A69),--('8. Transfers'!$J$9:$J$108="Matched"))+SUMPRODUCT(--(LEFT('8. Transfers'!$I$9:$I$108,7)=$A69),--('8. Transfers'!$J$9:$J$108="Matched"))+IF($O69="",0,COUNTIFS('9. Payroll Allocation'!$B$234:$B$253,$O69,'9. Payroll Allocation'!$H$234:$H$253,"Tied out"))&gt;0,"Linked","MISSING DETAIL")))</f>
        <v/>
      </c>
      <c r="T69" s="58" t="str">
        <f t="shared" si="7"/>
        <v/>
      </c>
      <c r="U69" s="59" t="str">
        <f>IF($T69="","",COUNTIF($T$6:$T69,"?*"))</f>
        <v/>
      </c>
      <c r="V69" s="58" t="str">
        <f t="shared" si="8"/>
        <v/>
      </c>
    </row>
    <row r="70" spans="1:22" ht="12.95" customHeight="1" x14ac:dyDescent="0.25">
      <c r="A70" s="52" t="str">
        <f t="shared" ref="A70:A133" si="9">IF($D70="","","TX-"&amp;TEXT(ROW()-5,"0000"))</f>
        <v/>
      </c>
      <c r="B70" s="37"/>
      <c r="C70" s="28"/>
      <c r="D70" s="35"/>
      <c r="E70" s="38"/>
      <c r="F70" s="38"/>
      <c r="G70" s="52" t="str">
        <f t="shared" ref="G70:G133" si="10">IF($D70="","",IFERROR(_xlfn.AGGREGATE(15,6,Rules_Pri/((ISNUMBER(SEARCH(Rules_Key,$D70)))*(Rules_Key&lt;&gt;"")*(Rules_Active="Yes")*((Rules_Dir="Any")+(Rules_Dir=IF(N($E70)&gt;0,"In","Out")))),1),""))</f>
        <v/>
      </c>
      <c r="H70" s="53" t="str">
        <f t="shared" ref="H70:H133" si="11">IF($D70="","",IF($G70="",IF(N($E70)&gt;0,"Uncategorized Deposit - NEEDS REVIEW","Uncategorized - NEEDS REVIEW"),INDEX(Rules_Cat,MATCH(1,INDEX(((ISNUMBER(SEARCH(Rules_Key,$D70)))*(Rules_Key&lt;&gt;"")*(Rules_Active="Yes")*((Rules_Dir="Any")+(Rules_Dir=IF(N($E70)&gt;0,"In","Out"))))*(Rules_Pri=$G70),0),0))))</f>
        <v/>
      </c>
      <c r="I70" s="40"/>
      <c r="J70" s="54" t="str">
        <f t="shared" ref="J70:J133" si="12">IF($D70="","",IF($I70&lt;&gt;"",$I70,$H70))</f>
        <v/>
      </c>
      <c r="K70" s="41" t="str">
        <f t="shared" ref="K70:K133" si="13">IF($J70="","",IFERROR(INDEX(Cat_Treatment,MATCH($J70,Cat_Name,0)),"Review Required"))</f>
        <v/>
      </c>
      <c r="L70" s="55"/>
      <c r="M70" s="56">
        <f t="shared" ref="M70:M133" si="14">IF($K70&lt;&gt;"Operating Expense",0,IF(AND($L70&lt;&gt;"",OR(N($L70)&lt;0,N($L70)&gt;1)),0,ROUND(N($F70)*IF($L70="",1,$L70),2)))</f>
        <v>0</v>
      </c>
      <c r="N70" s="56">
        <f t="shared" ref="N70:N133" si="15">IF($K70="Operating Revenue",ROUND(N($E70)-N($F70),2),0)</f>
        <v>0</v>
      </c>
      <c r="O70" s="57"/>
      <c r="P70" s="40"/>
      <c r="Q70" s="52" t="str">
        <f>IF($D70="","",IF($K70&lt;&gt;"Balance Sheet / Clearing","-",IF(SUMPRODUCT(--(LEFT('7. Settlements'!$J$8:$J$107,7)=$A70),--('7. Settlements'!$M$8:$M$107="Tied out"))+SUMPRODUCT(--(LEFT('8. Transfers'!$H$9:$H$108,7)=$A70),--('8. Transfers'!$J$9:$J$108="Matched"))+SUMPRODUCT(--(LEFT('8. Transfers'!$I$9:$I$108,7)=$A70),--('8. Transfers'!$J$9:$J$108="Matched"))+IF($O70="",0,COUNTIFS('9. Payroll Allocation'!$B$234:$B$253,$O70,'9. Payroll Allocation'!$H$234:$H$253,"Tied out"))&gt;0,"Linked","MISSING DETAIL")))</f>
        <v/>
      </c>
      <c r="T70" s="58" t="str">
        <f t="shared" ref="T70:T133" si="16">IF(OR($D70="",$K70&lt;&gt;"Balance Sheet / Clearing"),"",$A70&amp;" · "&amp;TEXT($B70,"mm/dd")&amp;" · "&amp;LEFT($D70,24)&amp;" · "&amp;TEXT(N($E70)+N($F70),"#,##0.00"))</f>
        <v/>
      </c>
      <c r="U70" s="59" t="str">
        <f>IF($T70="","",COUNTIF($T$6:$T70,"?*"))</f>
        <v/>
      </c>
      <c r="V70" s="58" t="str">
        <f t="shared" ref="V70:V133" si="17">IFERROR(INDEX($T$6:$T$1005,MATCH(ROW()-5,$U$6:$U$1005,0)),"")</f>
        <v/>
      </c>
    </row>
    <row r="71" spans="1:22" ht="12.95" customHeight="1" x14ac:dyDescent="0.25">
      <c r="A71" s="60" t="str">
        <f t="shared" si="9"/>
        <v/>
      </c>
      <c r="B71" s="37"/>
      <c r="C71" s="28"/>
      <c r="D71" s="35"/>
      <c r="E71" s="38"/>
      <c r="F71" s="38"/>
      <c r="G71" s="60" t="str">
        <f t="shared" si="10"/>
        <v/>
      </c>
      <c r="H71" s="61" t="str">
        <f t="shared" si="11"/>
        <v/>
      </c>
      <c r="I71" s="40"/>
      <c r="J71" s="62" t="str">
        <f t="shared" si="12"/>
        <v/>
      </c>
      <c r="K71" s="45" t="str">
        <f t="shared" si="13"/>
        <v/>
      </c>
      <c r="L71" s="55"/>
      <c r="M71" s="63">
        <f t="shared" si="14"/>
        <v>0</v>
      </c>
      <c r="N71" s="63">
        <f t="shared" si="15"/>
        <v>0</v>
      </c>
      <c r="O71" s="57"/>
      <c r="P71" s="40"/>
      <c r="Q71" s="60" t="str">
        <f>IF($D71="","",IF($K71&lt;&gt;"Balance Sheet / Clearing","-",IF(SUMPRODUCT(--(LEFT('7. Settlements'!$J$8:$J$107,7)=$A71),--('7. Settlements'!$M$8:$M$107="Tied out"))+SUMPRODUCT(--(LEFT('8. Transfers'!$H$9:$H$108,7)=$A71),--('8. Transfers'!$J$9:$J$108="Matched"))+SUMPRODUCT(--(LEFT('8. Transfers'!$I$9:$I$108,7)=$A71),--('8. Transfers'!$J$9:$J$108="Matched"))+IF($O71="",0,COUNTIFS('9. Payroll Allocation'!$B$234:$B$253,$O71,'9. Payroll Allocation'!$H$234:$H$253,"Tied out"))&gt;0,"Linked","MISSING DETAIL")))</f>
        <v/>
      </c>
      <c r="T71" s="58" t="str">
        <f t="shared" si="16"/>
        <v/>
      </c>
      <c r="U71" s="59" t="str">
        <f>IF($T71="","",COUNTIF($T$6:$T71,"?*"))</f>
        <v/>
      </c>
      <c r="V71" s="58" t="str">
        <f t="shared" si="17"/>
        <v/>
      </c>
    </row>
    <row r="72" spans="1:22" ht="12.95" customHeight="1" x14ac:dyDescent="0.25">
      <c r="A72" s="52" t="str">
        <f t="shared" si="9"/>
        <v/>
      </c>
      <c r="B72" s="37"/>
      <c r="C72" s="28"/>
      <c r="D72" s="35"/>
      <c r="E72" s="38"/>
      <c r="F72" s="38"/>
      <c r="G72" s="52" t="str">
        <f t="shared" si="10"/>
        <v/>
      </c>
      <c r="H72" s="53" t="str">
        <f t="shared" si="11"/>
        <v/>
      </c>
      <c r="I72" s="40"/>
      <c r="J72" s="54" t="str">
        <f t="shared" si="12"/>
        <v/>
      </c>
      <c r="K72" s="41" t="str">
        <f t="shared" si="13"/>
        <v/>
      </c>
      <c r="L72" s="55"/>
      <c r="M72" s="56">
        <f t="shared" si="14"/>
        <v>0</v>
      </c>
      <c r="N72" s="56">
        <f t="shared" si="15"/>
        <v>0</v>
      </c>
      <c r="O72" s="57"/>
      <c r="P72" s="40"/>
      <c r="Q72" s="52" t="str">
        <f>IF($D72="","",IF($K72&lt;&gt;"Balance Sheet / Clearing","-",IF(SUMPRODUCT(--(LEFT('7. Settlements'!$J$8:$J$107,7)=$A72),--('7. Settlements'!$M$8:$M$107="Tied out"))+SUMPRODUCT(--(LEFT('8. Transfers'!$H$9:$H$108,7)=$A72),--('8. Transfers'!$J$9:$J$108="Matched"))+SUMPRODUCT(--(LEFT('8. Transfers'!$I$9:$I$108,7)=$A72),--('8. Transfers'!$J$9:$J$108="Matched"))+IF($O72="",0,COUNTIFS('9. Payroll Allocation'!$B$234:$B$253,$O72,'9. Payroll Allocation'!$H$234:$H$253,"Tied out"))&gt;0,"Linked","MISSING DETAIL")))</f>
        <v/>
      </c>
      <c r="T72" s="58" t="str">
        <f t="shared" si="16"/>
        <v/>
      </c>
      <c r="U72" s="59" t="str">
        <f>IF($T72="","",COUNTIF($T$6:$T72,"?*"))</f>
        <v/>
      </c>
      <c r="V72" s="58" t="str">
        <f t="shared" si="17"/>
        <v/>
      </c>
    </row>
    <row r="73" spans="1:22" ht="12.95" customHeight="1" x14ac:dyDescent="0.25">
      <c r="A73" s="60" t="str">
        <f t="shared" si="9"/>
        <v/>
      </c>
      <c r="B73" s="37"/>
      <c r="C73" s="28"/>
      <c r="D73" s="35"/>
      <c r="E73" s="38"/>
      <c r="F73" s="38"/>
      <c r="G73" s="60" t="str">
        <f t="shared" si="10"/>
        <v/>
      </c>
      <c r="H73" s="61" t="str">
        <f t="shared" si="11"/>
        <v/>
      </c>
      <c r="I73" s="40"/>
      <c r="J73" s="62" t="str">
        <f t="shared" si="12"/>
        <v/>
      </c>
      <c r="K73" s="45" t="str">
        <f t="shared" si="13"/>
        <v/>
      </c>
      <c r="L73" s="55"/>
      <c r="M73" s="63">
        <f t="shared" si="14"/>
        <v>0</v>
      </c>
      <c r="N73" s="63">
        <f t="shared" si="15"/>
        <v>0</v>
      </c>
      <c r="O73" s="57"/>
      <c r="P73" s="40"/>
      <c r="Q73" s="60" t="str">
        <f>IF($D73="","",IF($K73&lt;&gt;"Balance Sheet / Clearing","-",IF(SUMPRODUCT(--(LEFT('7. Settlements'!$J$8:$J$107,7)=$A73),--('7. Settlements'!$M$8:$M$107="Tied out"))+SUMPRODUCT(--(LEFT('8. Transfers'!$H$9:$H$108,7)=$A73),--('8. Transfers'!$J$9:$J$108="Matched"))+SUMPRODUCT(--(LEFT('8. Transfers'!$I$9:$I$108,7)=$A73),--('8. Transfers'!$J$9:$J$108="Matched"))+IF($O73="",0,COUNTIFS('9. Payroll Allocation'!$B$234:$B$253,$O73,'9. Payroll Allocation'!$H$234:$H$253,"Tied out"))&gt;0,"Linked","MISSING DETAIL")))</f>
        <v/>
      </c>
      <c r="T73" s="58" t="str">
        <f t="shared" si="16"/>
        <v/>
      </c>
      <c r="U73" s="59" t="str">
        <f>IF($T73="","",COUNTIF($T$6:$T73,"?*"))</f>
        <v/>
      </c>
      <c r="V73" s="58" t="str">
        <f t="shared" si="17"/>
        <v/>
      </c>
    </row>
    <row r="74" spans="1:22" ht="12.95" customHeight="1" x14ac:dyDescent="0.25">
      <c r="A74" s="52" t="str">
        <f t="shared" si="9"/>
        <v/>
      </c>
      <c r="B74" s="37"/>
      <c r="C74" s="28"/>
      <c r="D74" s="35"/>
      <c r="E74" s="38"/>
      <c r="F74" s="38"/>
      <c r="G74" s="52" t="str">
        <f t="shared" si="10"/>
        <v/>
      </c>
      <c r="H74" s="53" t="str">
        <f t="shared" si="11"/>
        <v/>
      </c>
      <c r="I74" s="40"/>
      <c r="J74" s="54" t="str">
        <f t="shared" si="12"/>
        <v/>
      </c>
      <c r="K74" s="41" t="str">
        <f t="shared" si="13"/>
        <v/>
      </c>
      <c r="L74" s="55"/>
      <c r="M74" s="56">
        <f t="shared" si="14"/>
        <v>0</v>
      </c>
      <c r="N74" s="56">
        <f t="shared" si="15"/>
        <v>0</v>
      </c>
      <c r="O74" s="57"/>
      <c r="P74" s="40"/>
      <c r="Q74" s="52" t="str">
        <f>IF($D74="","",IF($K74&lt;&gt;"Balance Sheet / Clearing","-",IF(SUMPRODUCT(--(LEFT('7. Settlements'!$J$8:$J$107,7)=$A74),--('7. Settlements'!$M$8:$M$107="Tied out"))+SUMPRODUCT(--(LEFT('8. Transfers'!$H$9:$H$108,7)=$A74),--('8. Transfers'!$J$9:$J$108="Matched"))+SUMPRODUCT(--(LEFT('8. Transfers'!$I$9:$I$108,7)=$A74),--('8. Transfers'!$J$9:$J$108="Matched"))+IF($O74="",0,COUNTIFS('9. Payroll Allocation'!$B$234:$B$253,$O74,'9. Payroll Allocation'!$H$234:$H$253,"Tied out"))&gt;0,"Linked","MISSING DETAIL")))</f>
        <v/>
      </c>
      <c r="T74" s="58" t="str">
        <f t="shared" si="16"/>
        <v/>
      </c>
      <c r="U74" s="59" t="str">
        <f>IF($T74="","",COUNTIF($T$6:$T74,"?*"))</f>
        <v/>
      </c>
      <c r="V74" s="58" t="str">
        <f t="shared" si="17"/>
        <v/>
      </c>
    </row>
    <row r="75" spans="1:22" ht="12.95" customHeight="1" x14ac:dyDescent="0.25">
      <c r="A75" s="60" t="str">
        <f t="shared" si="9"/>
        <v/>
      </c>
      <c r="B75" s="37"/>
      <c r="C75" s="28"/>
      <c r="D75" s="35"/>
      <c r="E75" s="38"/>
      <c r="F75" s="38"/>
      <c r="G75" s="60" t="str">
        <f t="shared" si="10"/>
        <v/>
      </c>
      <c r="H75" s="61" t="str">
        <f t="shared" si="11"/>
        <v/>
      </c>
      <c r="I75" s="40"/>
      <c r="J75" s="62" t="str">
        <f t="shared" si="12"/>
        <v/>
      </c>
      <c r="K75" s="45" t="str">
        <f t="shared" si="13"/>
        <v/>
      </c>
      <c r="L75" s="55"/>
      <c r="M75" s="63">
        <f t="shared" si="14"/>
        <v>0</v>
      </c>
      <c r="N75" s="63">
        <f t="shared" si="15"/>
        <v>0</v>
      </c>
      <c r="O75" s="57"/>
      <c r="P75" s="40"/>
      <c r="Q75" s="60" t="str">
        <f>IF($D75="","",IF($K75&lt;&gt;"Balance Sheet / Clearing","-",IF(SUMPRODUCT(--(LEFT('7. Settlements'!$J$8:$J$107,7)=$A75),--('7. Settlements'!$M$8:$M$107="Tied out"))+SUMPRODUCT(--(LEFT('8. Transfers'!$H$9:$H$108,7)=$A75),--('8. Transfers'!$J$9:$J$108="Matched"))+SUMPRODUCT(--(LEFT('8. Transfers'!$I$9:$I$108,7)=$A75),--('8. Transfers'!$J$9:$J$108="Matched"))+IF($O75="",0,COUNTIFS('9. Payroll Allocation'!$B$234:$B$253,$O75,'9. Payroll Allocation'!$H$234:$H$253,"Tied out"))&gt;0,"Linked","MISSING DETAIL")))</f>
        <v/>
      </c>
      <c r="T75" s="58" t="str">
        <f t="shared" si="16"/>
        <v/>
      </c>
      <c r="U75" s="59" t="str">
        <f>IF($T75="","",COUNTIF($T$6:$T75,"?*"))</f>
        <v/>
      </c>
      <c r="V75" s="58" t="str">
        <f t="shared" si="17"/>
        <v/>
      </c>
    </row>
    <row r="76" spans="1:22" ht="12.95" customHeight="1" x14ac:dyDescent="0.25">
      <c r="A76" s="52" t="str">
        <f t="shared" si="9"/>
        <v/>
      </c>
      <c r="B76" s="37"/>
      <c r="C76" s="28"/>
      <c r="D76" s="35"/>
      <c r="E76" s="38"/>
      <c r="F76" s="38"/>
      <c r="G76" s="52" t="str">
        <f t="shared" si="10"/>
        <v/>
      </c>
      <c r="H76" s="53" t="str">
        <f t="shared" si="11"/>
        <v/>
      </c>
      <c r="I76" s="40"/>
      <c r="J76" s="54" t="str">
        <f t="shared" si="12"/>
        <v/>
      </c>
      <c r="K76" s="41" t="str">
        <f t="shared" si="13"/>
        <v/>
      </c>
      <c r="L76" s="55"/>
      <c r="M76" s="56">
        <f t="shared" si="14"/>
        <v>0</v>
      </c>
      <c r="N76" s="56">
        <f t="shared" si="15"/>
        <v>0</v>
      </c>
      <c r="O76" s="57"/>
      <c r="P76" s="40"/>
      <c r="Q76" s="52" t="str">
        <f>IF($D76="","",IF($K76&lt;&gt;"Balance Sheet / Clearing","-",IF(SUMPRODUCT(--(LEFT('7. Settlements'!$J$8:$J$107,7)=$A76),--('7. Settlements'!$M$8:$M$107="Tied out"))+SUMPRODUCT(--(LEFT('8. Transfers'!$H$9:$H$108,7)=$A76),--('8. Transfers'!$J$9:$J$108="Matched"))+SUMPRODUCT(--(LEFT('8. Transfers'!$I$9:$I$108,7)=$A76),--('8. Transfers'!$J$9:$J$108="Matched"))+IF($O76="",0,COUNTIFS('9. Payroll Allocation'!$B$234:$B$253,$O76,'9. Payroll Allocation'!$H$234:$H$253,"Tied out"))&gt;0,"Linked","MISSING DETAIL")))</f>
        <v/>
      </c>
      <c r="T76" s="58" t="str">
        <f t="shared" si="16"/>
        <v/>
      </c>
      <c r="U76" s="59" t="str">
        <f>IF($T76="","",COUNTIF($T$6:$T76,"?*"))</f>
        <v/>
      </c>
      <c r="V76" s="58" t="str">
        <f t="shared" si="17"/>
        <v/>
      </c>
    </row>
    <row r="77" spans="1:22" ht="12.95" customHeight="1" x14ac:dyDescent="0.25">
      <c r="A77" s="60" t="str">
        <f t="shared" si="9"/>
        <v/>
      </c>
      <c r="B77" s="37"/>
      <c r="C77" s="28"/>
      <c r="D77" s="35"/>
      <c r="E77" s="38"/>
      <c r="F77" s="38"/>
      <c r="G77" s="60" t="str">
        <f t="shared" si="10"/>
        <v/>
      </c>
      <c r="H77" s="61" t="str">
        <f t="shared" si="11"/>
        <v/>
      </c>
      <c r="I77" s="40"/>
      <c r="J77" s="62" t="str">
        <f t="shared" si="12"/>
        <v/>
      </c>
      <c r="K77" s="45" t="str">
        <f t="shared" si="13"/>
        <v/>
      </c>
      <c r="L77" s="55"/>
      <c r="M77" s="63">
        <f t="shared" si="14"/>
        <v>0</v>
      </c>
      <c r="N77" s="63">
        <f t="shared" si="15"/>
        <v>0</v>
      </c>
      <c r="O77" s="57"/>
      <c r="P77" s="40"/>
      <c r="Q77" s="60" t="str">
        <f>IF($D77="","",IF($K77&lt;&gt;"Balance Sheet / Clearing","-",IF(SUMPRODUCT(--(LEFT('7. Settlements'!$J$8:$J$107,7)=$A77),--('7. Settlements'!$M$8:$M$107="Tied out"))+SUMPRODUCT(--(LEFT('8. Transfers'!$H$9:$H$108,7)=$A77),--('8. Transfers'!$J$9:$J$108="Matched"))+SUMPRODUCT(--(LEFT('8. Transfers'!$I$9:$I$108,7)=$A77),--('8. Transfers'!$J$9:$J$108="Matched"))+IF($O77="",0,COUNTIFS('9. Payroll Allocation'!$B$234:$B$253,$O77,'9. Payroll Allocation'!$H$234:$H$253,"Tied out"))&gt;0,"Linked","MISSING DETAIL")))</f>
        <v/>
      </c>
      <c r="T77" s="58" t="str">
        <f t="shared" si="16"/>
        <v/>
      </c>
      <c r="U77" s="59" t="str">
        <f>IF($T77="","",COUNTIF($T$6:$T77,"?*"))</f>
        <v/>
      </c>
      <c r="V77" s="58" t="str">
        <f t="shared" si="17"/>
        <v/>
      </c>
    </row>
    <row r="78" spans="1:22" ht="12.95" customHeight="1" x14ac:dyDescent="0.25">
      <c r="A78" s="52" t="str">
        <f t="shared" si="9"/>
        <v/>
      </c>
      <c r="B78" s="37"/>
      <c r="C78" s="28"/>
      <c r="D78" s="35"/>
      <c r="E78" s="38"/>
      <c r="F78" s="38"/>
      <c r="G78" s="52" t="str">
        <f t="shared" si="10"/>
        <v/>
      </c>
      <c r="H78" s="53" t="str">
        <f t="shared" si="11"/>
        <v/>
      </c>
      <c r="I78" s="40"/>
      <c r="J78" s="54" t="str">
        <f t="shared" si="12"/>
        <v/>
      </c>
      <c r="K78" s="41" t="str">
        <f t="shared" si="13"/>
        <v/>
      </c>
      <c r="L78" s="55"/>
      <c r="M78" s="56">
        <f t="shared" si="14"/>
        <v>0</v>
      </c>
      <c r="N78" s="56">
        <f t="shared" si="15"/>
        <v>0</v>
      </c>
      <c r="O78" s="57"/>
      <c r="P78" s="40"/>
      <c r="Q78" s="52" t="str">
        <f>IF($D78="","",IF($K78&lt;&gt;"Balance Sheet / Clearing","-",IF(SUMPRODUCT(--(LEFT('7. Settlements'!$J$8:$J$107,7)=$A78),--('7. Settlements'!$M$8:$M$107="Tied out"))+SUMPRODUCT(--(LEFT('8. Transfers'!$H$9:$H$108,7)=$A78),--('8. Transfers'!$J$9:$J$108="Matched"))+SUMPRODUCT(--(LEFT('8. Transfers'!$I$9:$I$108,7)=$A78),--('8. Transfers'!$J$9:$J$108="Matched"))+IF($O78="",0,COUNTIFS('9. Payroll Allocation'!$B$234:$B$253,$O78,'9. Payroll Allocation'!$H$234:$H$253,"Tied out"))&gt;0,"Linked","MISSING DETAIL")))</f>
        <v/>
      </c>
      <c r="T78" s="58" t="str">
        <f t="shared" si="16"/>
        <v/>
      </c>
      <c r="U78" s="59" t="str">
        <f>IF($T78="","",COUNTIF($T$6:$T78,"?*"))</f>
        <v/>
      </c>
      <c r="V78" s="58" t="str">
        <f t="shared" si="17"/>
        <v/>
      </c>
    </row>
    <row r="79" spans="1:22" ht="12.95" customHeight="1" x14ac:dyDescent="0.25">
      <c r="A79" s="60" t="str">
        <f t="shared" si="9"/>
        <v/>
      </c>
      <c r="B79" s="37"/>
      <c r="C79" s="28"/>
      <c r="D79" s="35"/>
      <c r="E79" s="38"/>
      <c r="F79" s="38"/>
      <c r="G79" s="60" t="str">
        <f t="shared" si="10"/>
        <v/>
      </c>
      <c r="H79" s="61" t="str">
        <f t="shared" si="11"/>
        <v/>
      </c>
      <c r="I79" s="40"/>
      <c r="J79" s="62" t="str">
        <f t="shared" si="12"/>
        <v/>
      </c>
      <c r="K79" s="45" t="str">
        <f t="shared" si="13"/>
        <v/>
      </c>
      <c r="L79" s="55"/>
      <c r="M79" s="63">
        <f t="shared" si="14"/>
        <v>0</v>
      </c>
      <c r="N79" s="63">
        <f t="shared" si="15"/>
        <v>0</v>
      </c>
      <c r="O79" s="57"/>
      <c r="P79" s="40"/>
      <c r="Q79" s="60" t="str">
        <f>IF($D79="","",IF($K79&lt;&gt;"Balance Sheet / Clearing","-",IF(SUMPRODUCT(--(LEFT('7. Settlements'!$J$8:$J$107,7)=$A79),--('7. Settlements'!$M$8:$M$107="Tied out"))+SUMPRODUCT(--(LEFT('8. Transfers'!$H$9:$H$108,7)=$A79),--('8. Transfers'!$J$9:$J$108="Matched"))+SUMPRODUCT(--(LEFT('8. Transfers'!$I$9:$I$108,7)=$A79),--('8. Transfers'!$J$9:$J$108="Matched"))+IF($O79="",0,COUNTIFS('9. Payroll Allocation'!$B$234:$B$253,$O79,'9. Payroll Allocation'!$H$234:$H$253,"Tied out"))&gt;0,"Linked","MISSING DETAIL")))</f>
        <v/>
      </c>
      <c r="T79" s="58" t="str">
        <f t="shared" si="16"/>
        <v/>
      </c>
      <c r="U79" s="59" t="str">
        <f>IF($T79="","",COUNTIF($T$6:$T79,"?*"))</f>
        <v/>
      </c>
      <c r="V79" s="58" t="str">
        <f t="shared" si="17"/>
        <v/>
      </c>
    </row>
    <row r="80" spans="1:22" ht="12.95" customHeight="1" x14ac:dyDescent="0.25">
      <c r="A80" s="52" t="str">
        <f t="shared" si="9"/>
        <v/>
      </c>
      <c r="B80" s="37"/>
      <c r="C80" s="28"/>
      <c r="D80" s="35"/>
      <c r="E80" s="38"/>
      <c r="F80" s="38"/>
      <c r="G80" s="52" t="str">
        <f t="shared" si="10"/>
        <v/>
      </c>
      <c r="H80" s="53" t="str">
        <f t="shared" si="11"/>
        <v/>
      </c>
      <c r="I80" s="40"/>
      <c r="J80" s="54" t="str">
        <f t="shared" si="12"/>
        <v/>
      </c>
      <c r="K80" s="41" t="str">
        <f t="shared" si="13"/>
        <v/>
      </c>
      <c r="L80" s="55"/>
      <c r="M80" s="56">
        <f t="shared" si="14"/>
        <v>0</v>
      </c>
      <c r="N80" s="56">
        <f t="shared" si="15"/>
        <v>0</v>
      </c>
      <c r="O80" s="57"/>
      <c r="P80" s="40"/>
      <c r="Q80" s="52" t="str">
        <f>IF($D80="","",IF($K80&lt;&gt;"Balance Sheet / Clearing","-",IF(SUMPRODUCT(--(LEFT('7. Settlements'!$J$8:$J$107,7)=$A80),--('7. Settlements'!$M$8:$M$107="Tied out"))+SUMPRODUCT(--(LEFT('8. Transfers'!$H$9:$H$108,7)=$A80),--('8. Transfers'!$J$9:$J$108="Matched"))+SUMPRODUCT(--(LEFT('8. Transfers'!$I$9:$I$108,7)=$A80),--('8. Transfers'!$J$9:$J$108="Matched"))+IF($O80="",0,COUNTIFS('9. Payroll Allocation'!$B$234:$B$253,$O80,'9. Payroll Allocation'!$H$234:$H$253,"Tied out"))&gt;0,"Linked","MISSING DETAIL")))</f>
        <v/>
      </c>
      <c r="T80" s="58" t="str">
        <f t="shared" si="16"/>
        <v/>
      </c>
      <c r="U80" s="59" t="str">
        <f>IF($T80="","",COUNTIF($T$6:$T80,"?*"))</f>
        <v/>
      </c>
      <c r="V80" s="58" t="str">
        <f t="shared" si="17"/>
        <v/>
      </c>
    </row>
    <row r="81" spans="1:22" ht="12.95" customHeight="1" x14ac:dyDescent="0.25">
      <c r="A81" s="60" t="str">
        <f t="shared" si="9"/>
        <v/>
      </c>
      <c r="B81" s="37"/>
      <c r="C81" s="28"/>
      <c r="D81" s="35"/>
      <c r="E81" s="38"/>
      <c r="F81" s="38"/>
      <c r="G81" s="60" t="str">
        <f t="shared" si="10"/>
        <v/>
      </c>
      <c r="H81" s="61" t="str">
        <f t="shared" si="11"/>
        <v/>
      </c>
      <c r="I81" s="40"/>
      <c r="J81" s="62" t="str">
        <f t="shared" si="12"/>
        <v/>
      </c>
      <c r="K81" s="45" t="str">
        <f t="shared" si="13"/>
        <v/>
      </c>
      <c r="L81" s="55"/>
      <c r="M81" s="63">
        <f t="shared" si="14"/>
        <v>0</v>
      </c>
      <c r="N81" s="63">
        <f t="shared" si="15"/>
        <v>0</v>
      </c>
      <c r="O81" s="57"/>
      <c r="P81" s="40"/>
      <c r="Q81" s="60" t="str">
        <f>IF($D81="","",IF($K81&lt;&gt;"Balance Sheet / Clearing","-",IF(SUMPRODUCT(--(LEFT('7. Settlements'!$J$8:$J$107,7)=$A81),--('7. Settlements'!$M$8:$M$107="Tied out"))+SUMPRODUCT(--(LEFT('8. Transfers'!$H$9:$H$108,7)=$A81),--('8. Transfers'!$J$9:$J$108="Matched"))+SUMPRODUCT(--(LEFT('8. Transfers'!$I$9:$I$108,7)=$A81),--('8. Transfers'!$J$9:$J$108="Matched"))+IF($O81="",0,COUNTIFS('9. Payroll Allocation'!$B$234:$B$253,$O81,'9. Payroll Allocation'!$H$234:$H$253,"Tied out"))&gt;0,"Linked","MISSING DETAIL")))</f>
        <v/>
      </c>
      <c r="T81" s="58" t="str">
        <f t="shared" si="16"/>
        <v/>
      </c>
      <c r="U81" s="59" t="str">
        <f>IF($T81="","",COUNTIF($T$6:$T81,"?*"))</f>
        <v/>
      </c>
      <c r="V81" s="58" t="str">
        <f t="shared" si="17"/>
        <v/>
      </c>
    </row>
    <row r="82" spans="1:22" ht="12.95" customHeight="1" x14ac:dyDescent="0.25">
      <c r="A82" s="52" t="str">
        <f t="shared" si="9"/>
        <v/>
      </c>
      <c r="B82" s="37"/>
      <c r="C82" s="28"/>
      <c r="D82" s="35"/>
      <c r="E82" s="38"/>
      <c r="F82" s="38"/>
      <c r="G82" s="52" t="str">
        <f t="shared" si="10"/>
        <v/>
      </c>
      <c r="H82" s="53" t="str">
        <f t="shared" si="11"/>
        <v/>
      </c>
      <c r="I82" s="40"/>
      <c r="J82" s="54" t="str">
        <f t="shared" si="12"/>
        <v/>
      </c>
      <c r="K82" s="41" t="str">
        <f t="shared" si="13"/>
        <v/>
      </c>
      <c r="L82" s="55"/>
      <c r="M82" s="56">
        <f t="shared" si="14"/>
        <v>0</v>
      </c>
      <c r="N82" s="56">
        <f t="shared" si="15"/>
        <v>0</v>
      </c>
      <c r="O82" s="57"/>
      <c r="P82" s="40"/>
      <c r="Q82" s="52" t="str">
        <f>IF($D82="","",IF($K82&lt;&gt;"Balance Sheet / Clearing","-",IF(SUMPRODUCT(--(LEFT('7. Settlements'!$J$8:$J$107,7)=$A82),--('7. Settlements'!$M$8:$M$107="Tied out"))+SUMPRODUCT(--(LEFT('8. Transfers'!$H$9:$H$108,7)=$A82),--('8. Transfers'!$J$9:$J$108="Matched"))+SUMPRODUCT(--(LEFT('8. Transfers'!$I$9:$I$108,7)=$A82),--('8. Transfers'!$J$9:$J$108="Matched"))+IF($O82="",0,COUNTIFS('9. Payroll Allocation'!$B$234:$B$253,$O82,'9. Payroll Allocation'!$H$234:$H$253,"Tied out"))&gt;0,"Linked","MISSING DETAIL")))</f>
        <v/>
      </c>
      <c r="T82" s="58" t="str">
        <f t="shared" si="16"/>
        <v/>
      </c>
      <c r="U82" s="59" t="str">
        <f>IF($T82="","",COUNTIF($T$6:$T82,"?*"))</f>
        <v/>
      </c>
      <c r="V82" s="58" t="str">
        <f t="shared" si="17"/>
        <v/>
      </c>
    </row>
    <row r="83" spans="1:22" ht="12.95" customHeight="1" x14ac:dyDescent="0.25">
      <c r="A83" s="60" t="str">
        <f t="shared" si="9"/>
        <v/>
      </c>
      <c r="B83" s="37"/>
      <c r="C83" s="28"/>
      <c r="D83" s="35"/>
      <c r="E83" s="38"/>
      <c r="F83" s="38"/>
      <c r="G83" s="60" t="str">
        <f t="shared" si="10"/>
        <v/>
      </c>
      <c r="H83" s="61" t="str">
        <f t="shared" si="11"/>
        <v/>
      </c>
      <c r="I83" s="40"/>
      <c r="J83" s="62" t="str">
        <f t="shared" si="12"/>
        <v/>
      </c>
      <c r="K83" s="45" t="str">
        <f t="shared" si="13"/>
        <v/>
      </c>
      <c r="L83" s="55"/>
      <c r="M83" s="63">
        <f t="shared" si="14"/>
        <v>0</v>
      </c>
      <c r="N83" s="63">
        <f t="shared" si="15"/>
        <v>0</v>
      </c>
      <c r="O83" s="57"/>
      <c r="P83" s="40"/>
      <c r="Q83" s="60" t="str">
        <f>IF($D83="","",IF($K83&lt;&gt;"Balance Sheet / Clearing","-",IF(SUMPRODUCT(--(LEFT('7. Settlements'!$J$8:$J$107,7)=$A83),--('7. Settlements'!$M$8:$M$107="Tied out"))+SUMPRODUCT(--(LEFT('8. Transfers'!$H$9:$H$108,7)=$A83),--('8. Transfers'!$J$9:$J$108="Matched"))+SUMPRODUCT(--(LEFT('8. Transfers'!$I$9:$I$108,7)=$A83),--('8. Transfers'!$J$9:$J$108="Matched"))+IF($O83="",0,COUNTIFS('9. Payroll Allocation'!$B$234:$B$253,$O83,'9. Payroll Allocation'!$H$234:$H$253,"Tied out"))&gt;0,"Linked","MISSING DETAIL")))</f>
        <v/>
      </c>
      <c r="T83" s="58" t="str">
        <f t="shared" si="16"/>
        <v/>
      </c>
      <c r="U83" s="59" t="str">
        <f>IF($T83="","",COUNTIF($T$6:$T83,"?*"))</f>
        <v/>
      </c>
      <c r="V83" s="58" t="str">
        <f t="shared" si="17"/>
        <v/>
      </c>
    </row>
    <row r="84" spans="1:22" ht="12.95" customHeight="1" x14ac:dyDescent="0.25">
      <c r="A84" s="52" t="str">
        <f t="shared" si="9"/>
        <v/>
      </c>
      <c r="B84" s="37"/>
      <c r="C84" s="28"/>
      <c r="D84" s="35"/>
      <c r="E84" s="38"/>
      <c r="F84" s="38"/>
      <c r="G84" s="52" t="str">
        <f t="shared" si="10"/>
        <v/>
      </c>
      <c r="H84" s="53" t="str">
        <f t="shared" si="11"/>
        <v/>
      </c>
      <c r="I84" s="40"/>
      <c r="J84" s="54" t="str">
        <f t="shared" si="12"/>
        <v/>
      </c>
      <c r="K84" s="41" t="str">
        <f t="shared" si="13"/>
        <v/>
      </c>
      <c r="L84" s="55"/>
      <c r="M84" s="56">
        <f t="shared" si="14"/>
        <v>0</v>
      </c>
      <c r="N84" s="56">
        <f t="shared" si="15"/>
        <v>0</v>
      </c>
      <c r="O84" s="57"/>
      <c r="P84" s="40"/>
      <c r="Q84" s="52" t="str">
        <f>IF($D84="","",IF($K84&lt;&gt;"Balance Sheet / Clearing","-",IF(SUMPRODUCT(--(LEFT('7. Settlements'!$J$8:$J$107,7)=$A84),--('7. Settlements'!$M$8:$M$107="Tied out"))+SUMPRODUCT(--(LEFT('8. Transfers'!$H$9:$H$108,7)=$A84),--('8. Transfers'!$J$9:$J$108="Matched"))+SUMPRODUCT(--(LEFT('8. Transfers'!$I$9:$I$108,7)=$A84),--('8. Transfers'!$J$9:$J$108="Matched"))+IF($O84="",0,COUNTIFS('9. Payroll Allocation'!$B$234:$B$253,$O84,'9. Payroll Allocation'!$H$234:$H$253,"Tied out"))&gt;0,"Linked","MISSING DETAIL")))</f>
        <v/>
      </c>
      <c r="T84" s="58" t="str">
        <f t="shared" si="16"/>
        <v/>
      </c>
      <c r="U84" s="59" t="str">
        <f>IF($T84="","",COUNTIF($T$6:$T84,"?*"))</f>
        <v/>
      </c>
      <c r="V84" s="58" t="str">
        <f t="shared" si="17"/>
        <v/>
      </c>
    </row>
    <row r="85" spans="1:22" ht="12.95" customHeight="1" x14ac:dyDescent="0.25">
      <c r="A85" s="60" t="str">
        <f t="shared" si="9"/>
        <v/>
      </c>
      <c r="B85" s="37"/>
      <c r="C85" s="28"/>
      <c r="D85" s="35"/>
      <c r="E85" s="38"/>
      <c r="F85" s="38"/>
      <c r="G85" s="60" t="str">
        <f t="shared" si="10"/>
        <v/>
      </c>
      <c r="H85" s="61" t="str">
        <f t="shared" si="11"/>
        <v/>
      </c>
      <c r="I85" s="40"/>
      <c r="J85" s="62" t="str">
        <f t="shared" si="12"/>
        <v/>
      </c>
      <c r="K85" s="45" t="str">
        <f t="shared" si="13"/>
        <v/>
      </c>
      <c r="L85" s="55"/>
      <c r="M85" s="63">
        <f t="shared" si="14"/>
        <v>0</v>
      </c>
      <c r="N85" s="63">
        <f t="shared" si="15"/>
        <v>0</v>
      </c>
      <c r="O85" s="57"/>
      <c r="P85" s="40"/>
      <c r="Q85" s="60" t="str">
        <f>IF($D85="","",IF($K85&lt;&gt;"Balance Sheet / Clearing","-",IF(SUMPRODUCT(--(LEFT('7. Settlements'!$J$8:$J$107,7)=$A85),--('7. Settlements'!$M$8:$M$107="Tied out"))+SUMPRODUCT(--(LEFT('8. Transfers'!$H$9:$H$108,7)=$A85),--('8. Transfers'!$J$9:$J$108="Matched"))+SUMPRODUCT(--(LEFT('8. Transfers'!$I$9:$I$108,7)=$A85),--('8. Transfers'!$J$9:$J$108="Matched"))+IF($O85="",0,COUNTIFS('9. Payroll Allocation'!$B$234:$B$253,$O85,'9. Payroll Allocation'!$H$234:$H$253,"Tied out"))&gt;0,"Linked","MISSING DETAIL")))</f>
        <v/>
      </c>
      <c r="T85" s="58" t="str">
        <f t="shared" si="16"/>
        <v/>
      </c>
      <c r="U85" s="59" t="str">
        <f>IF($T85="","",COUNTIF($T$6:$T85,"?*"))</f>
        <v/>
      </c>
      <c r="V85" s="58" t="str">
        <f t="shared" si="17"/>
        <v/>
      </c>
    </row>
    <row r="86" spans="1:22" ht="12.95" customHeight="1" x14ac:dyDescent="0.25">
      <c r="A86" s="52" t="str">
        <f t="shared" si="9"/>
        <v/>
      </c>
      <c r="B86" s="37"/>
      <c r="C86" s="28"/>
      <c r="D86" s="35"/>
      <c r="E86" s="38"/>
      <c r="F86" s="38"/>
      <c r="G86" s="52" t="str">
        <f t="shared" si="10"/>
        <v/>
      </c>
      <c r="H86" s="53" t="str">
        <f t="shared" si="11"/>
        <v/>
      </c>
      <c r="I86" s="40"/>
      <c r="J86" s="54" t="str">
        <f t="shared" si="12"/>
        <v/>
      </c>
      <c r="K86" s="41" t="str">
        <f t="shared" si="13"/>
        <v/>
      </c>
      <c r="L86" s="55"/>
      <c r="M86" s="56">
        <f t="shared" si="14"/>
        <v>0</v>
      </c>
      <c r="N86" s="56">
        <f t="shared" si="15"/>
        <v>0</v>
      </c>
      <c r="O86" s="57"/>
      <c r="P86" s="40"/>
      <c r="Q86" s="52" t="str">
        <f>IF($D86="","",IF($K86&lt;&gt;"Balance Sheet / Clearing","-",IF(SUMPRODUCT(--(LEFT('7. Settlements'!$J$8:$J$107,7)=$A86),--('7. Settlements'!$M$8:$M$107="Tied out"))+SUMPRODUCT(--(LEFT('8. Transfers'!$H$9:$H$108,7)=$A86),--('8. Transfers'!$J$9:$J$108="Matched"))+SUMPRODUCT(--(LEFT('8. Transfers'!$I$9:$I$108,7)=$A86),--('8. Transfers'!$J$9:$J$108="Matched"))+IF($O86="",0,COUNTIFS('9. Payroll Allocation'!$B$234:$B$253,$O86,'9. Payroll Allocation'!$H$234:$H$253,"Tied out"))&gt;0,"Linked","MISSING DETAIL")))</f>
        <v/>
      </c>
      <c r="T86" s="58" t="str">
        <f t="shared" si="16"/>
        <v/>
      </c>
      <c r="U86" s="59" t="str">
        <f>IF($T86="","",COUNTIF($T$6:$T86,"?*"))</f>
        <v/>
      </c>
      <c r="V86" s="58" t="str">
        <f t="shared" si="17"/>
        <v/>
      </c>
    </row>
    <row r="87" spans="1:22" ht="12.95" customHeight="1" x14ac:dyDescent="0.25">
      <c r="A87" s="60" t="str">
        <f t="shared" si="9"/>
        <v/>
      </c>
      <c r="B87" s="37"/>
      <c r="C87" s="28"/>
      <c r="D87" s="35"/>
      <c r="E87" s="38"/>
      <c r="F87" s="38"/>
      <c r="G87" s="60" t="str">
        <f t="shared" si="10"/>
        <v/>
      </c>
      <c r="H87" s="61" t="str">
        <f t="shared" si="11"/>
        <v/>
      </c>
      <c r="I87" s="40"/>
      <c r="J87" s="62" t="str">
        <f t="shared" si="12"/>
        <v/>
      </c>
      <c r="K87" s="45" t="str">
        <f t="shared" si="13"/>
        <v/>
      </c>
      <c r="L87" s="55"/>
      <c r="M87" s="63">
        <f t="shared" si="14"/>
        <v>0</v>
      </c>
      <c r="N87" s="63">
        <f t="shared" si="15"/>
        <v>0</v>
      </c>
      <c r="O87" s="57"/>
      <c r="P87" s="40"/>
      <c r="Q87" s="60" t="str">
        <f>IF($D87="","",IF($K87&lt;&gt;"Balance Sheet / Clearing","-",IF(SUMPRODUCT(--(LEFT('7. Settlements'!$J$8:$J$107,7)=$A87),--('7. Settlements'!$M$8:$M$107="Tied out"))+SUMPRODUCT(--(LEFT('8. Transfers'!$H$9:$H$108,7)=$A87),--('8. Transfers'!$J$9:$J$108="Matched"))+SUMPRODUCT(--(LEFT('8. Transfers'!$I$9:$I$108,7)=$A87),--('8. Transfers'!$J$9:$J$108="Matched"))+IF($O87="",0,COUNTIFS('9. Payroll Allocation'!$B$234:$B$253,$O87,'9. Payroll Allocation'!$H$234:$H$253,"Tied out"))&gt;0,"Linked","MISSING DETAIL")))</f>
        <v/>
      </c>
      <c r="T87" s="58" t="str">
        <f t="shared" si="16"/>
        <v/>
      </c>
      <c r="U87" s="59" t="str">
        <f>IF($T87="","",COUNTIF($T$6:$T87,"?*"))</f>
        <v/>
      </c>
      <c r="V87" s="58" t="str">
        <f t="shared" si="17"/>
        <v/>
      </c>
    </row>
    <row r="88" spans="1:22" ht="12.95" customHeight="1" x14ac:dyDescent="0.25">
      <c r="A88" s="52" t="str">
        <f t="shared" si="9"/>
        <v/>
      </c>
      <c r="B88" s="37"/>
      <c r="C88" s="28"/>
      <c r="D88" s="35"/>
      <c r="E88" s="38"/>
      <c r="F88" s="38"/>
      <c r="G88" s="52" t="str">
        <f t="shared" si="10"/>
        <v/>
      </c>
      <c r="H88" s="53" t="str">
        <f t="shared" si="11"/>
        <v/>
      </c>
      <c r="I88" s="40"/>
      <c r="J88" s="54" t="str">
        <f t="shared" si="12"/>
        <v/>
      </c>
      <c r="K88" s="41" t="str">
        <f t="shared" si="13"/>
        <v/>
      </c>
      <c r="L88" s="55"/>
      <c r="M88" s="56">
        <f t="shared" si="14"/>
        <v>0</v>
      </c>
      <c r="N88" s="56">
        <f t="shared" si="15"/>
        <v>0</v>
      </c>
      <c r="O88" s="57"/>
      <c r="P88" s="40"/>
      <c r="Q88" s="52" t="str">
        <f>IF($D88="","",IF($K88&lt;&gt;"Balance Sheet / Clearing","-",IF(SUMPRODUCT(--(LEFT('7. Settlements'!$J$8:$J$107,7)=$A88),--('7. Settlements'!$M$8:$M$107="Tied out"))+SUMPRODUCT(--(LEFT('8. Transfers'!$H$9:$H$108,7)=$A88),--('8. Transfers'!$J$9:$J$108="Matched"))+SUMPRODUCT(--(LEFT('8. Transfers'!$I$9:$I$108,7)=$A88),--('8. Transfers'!$J$9:$J$108="Matched"))+IF($O88="",0,COUNTIFS('9. Payroll Allocation'!$B$234:$B$253,$O88,'9. Payroll Allocation'!$H$234:$H$253,"Tied out"))&gt;0,"Linked","MISSING DETAIL")))</f>
        <v/>
      </c>
      <c r="T88" s="58" t="str">
        <f t="shared" si="16"/>
        <v/>
      </c>
      <c r="U88" s="59" t="str">
        <f>IF($T88="","",COUNTIF($T$6:$T88,"?*"))</f>
        <v/>
      </c>
      <c r="V88" s="58" t="str">
        <f t="shared" si="17"/>
        <v/>
      </c>
    </row>
    <row r="89" spans="1:22" ht="12.95" customHeight="1" x14ac:dyDescent="0.25">
      <c r="A89" s="60" t="str">
        <f t="shared" si="9"/>
        <v/>
      </c>
      <c r="B89" s="37"/>
      <c r="C89" s="28"/>
      <c r="D89" s="35"/>
      <c r="E89" s="38"/>
      <c r="F89" s="38"/>
      <c r="G89" s="60" t="str">
        <f t="shared" si="10"/>
        <v/>
      </c>
      <c r="H89" s="61" t="str">
        <f t="shared" si="11"/>
        <v/>
      </c>
      <c r="I89" s="40"/>
      <c r="J89" s="62" t="str">
        <f t="shared" si="12"/>
        <v/>
      </c>
      <c r="K89" s="45" t="str">
        <f t="shared" si="13"/>
        <v/>
      </c>
      <c r="L89" s="55"/>
      <c r="M89" s="63">
        <f t="shared" si="14"/>
        <v>0</v>
      </c>
      <c r="N89" s="63">
        <f t="shared" si="15"/>
        <v>0</v>
      </c>
      <c r="O89" s="57"/>
      <c r="P89" s="40"/>
      <c r="Q89" s="60" t="str">
        <f>IF($D89="","",IF($K89&lt;&gt;"Balance Sheet / Clearing","-",IF(SUMPRODUCT(--(LEFT('7. Settlements'!$J$8:$J$107,7)=$A89),--('7. Settlements'!$M$8:$M$107="Tied out"))+SUMPRODUCT(--(LEFT('8. Transfers'!$H$9:$H$108,7)=$A89),--('8. Transfers'!$J$9:$J$108="Matched"))+SUMPRODUCT(--(LEFT('8. Transfers'!$I$9:$I$108,7)=$A89),--('8. Transfers'!$J$9:$J$108="Matched"))+IF($O89="",0,COUNTIFS('9. Payroll Allocation'!$B$234:$B$253,$O89,'9. Payroll Allocation'!$H$234:$H$253,"Tied out"))&gt;0,"Linked","MISSING DETAIL")))</f>
        <v/>
      </c>
      <c r="T89" s="58" t="str">
        <f t="shared" si="16"/>
        <v/>
      </c>
      <c r="U89" s="59" t="str">
        <f>IF($T89="","",COUNTIF($T$6:$T89,"?*"))</f>
        <v/>
      </c>
      <c r="V89" s="58" t="str">
        <f t="shared" si="17"/>
        <v/>
      </c>
    </row>
    <row r="90" spans="1:22" ht="12.95" customHeight="1" x14ac:dyDescent="0.25">
      <c r="A90" s="52" t="str">
        <f t="shared" si="9"/>
        <v/>
      </c>
      <c r="B90" s="37"/>
      <c r="C90" s="28"/>
      <c r="D90" s="35"/>
      <c r="E90" s="38"/>
      <c r="F90" s="38"/>
      <c r="G90" s="52" t="str">
        <f t="shared" si="10"/>
        <v/>
      </c>
      <c r="H90" s="53" t="str">
        <f t="shared" si="11"/>
        <v/>
      </c>
      <c r="I90" s="40"/>
      <c r="J90" s="54" t="str">
        <f t="shared" si="12"/>
        <v/>
      </c>
      <c r="K90" s="41" t="str">
        <f t="shared" si="13"/>
        <v/>
      </c>
      <c r="L90" s="55"/>
      <c r="M90" s="56">
        <f t="shared" si="14"/>
        <v>0</v>
      </c>
      <c r="N90" s="56">
        <f t="shared" si="15"/>
        <v>0</v>
      </c>
      <c r="O90" s="57"/>
      <c r="P90" s="40"/>
      <c r="Q90" s="52" t="str">
        <f>IF($D90="","",IF($K90&lt;&gt;"Balance Sheet / Clearing","-",IF(SUMPRODUCT(--(LEFT('7. Settlements'!$J$8:$J$107,7)=$A90),--('7. Settlements'!$M$8:$M$107="Tied out"))+SUMPRODUCT(--(LEFT('8. Transfers'!$H$9:$H$108,7)=$A90),--('8. Transfers'!$J$9:$J$108="Matched"))+SUMPRODUCT(--(LEFT('8. Transfers'!$I$9:$I$108,7)=$A90),--('8. Transfers'!$J$9:$J$108="Matched"))+IF($O90="",0,COUNTIFS('9. Payroll Allocation'!$B$234:$B$253,$O90,'9. Payroll Allocation'!$H$234:$H$253,"Tied out"))&gt;0,"Linked","MISSING DETAIL")))</f>
        <v/>
      </c>
      <c r="T90" s="58" t="str">
        <f t="shared" si="16"/>
        <v/>
      </c>
      <c r="U90" s="59" t="str">
        <f>IF($T90="","",COUNTIF($T$6:$T90,"?*"))</f>
        <v/>
      </c>
      <c r="V90" s="58" t="str">
        <f t="shared" si="17"/>
        <v/>
      </c>
    </row>
    <row r="91" spans="1:22" ht="12.95" customHeight="1" x14ac:dyDescent="0.25">
      <c r="A91" s="60" t="str">
        <f t="shared" si="9"/>
        <v/>
      </c>
      <c r="B91" s="37"/>
      <c r="C91" s="28"/>
      <c r="D91" s="35"/>
      <c r="E91" s="38"/>
      <c r="F91" s="38"/>
      <c r="G91" s="60" t="str">
        <f t="shared" si="10"/>
        <v/>
      </c>
      <c r="H91" s="61" t="str">
        <f t="shared" si="11"/>
        <v/>
      </c>
      <c r="I91" s="40"/>
      <c r="J91" s="62" t="str">
        <f t="shared" si="12"/>
        <v/>
      </c>
      <c r="K91" s="45" t="str">
        <f t="shared" si="13"/>
        <v/>
      </c>
      <c r="L91" s="55"/>
      <c r="M91" s="63">
        <f t="shared" si="14"/>
        <v>0</v>
      </c>
      <c r="N91" s="63">
        <f t="shared" si="15"/>
        <v>0</v>
      </c>
      <c r="O91" s="57"/>
      <c r="P91" s="40"/>
      <c r="Q91" s="60" t="str">
        <f>IF($D91="","",IF($K91&lt;&gt;"Balance Sheet / Clearing","-",IF(SUMPRODUCT(--(LEFT('7. Settlements'!$J$8:$J$107,7)=$A91),--('7. Settlements'!$M$8:$M$107="Tied out"))+SUMPRODUCT(--(LEFT('8. Transfers'!$H$9:$H$108,7)=$A91),--('8. Transfers'!$J$9:$J$108="Matched"))+SUMPRODUCT(--(LEFT('8. Transfers'!$I$9:$I$108,7)=$A91),--('8. Transfers'!$J$9:$J$108="Matched"))+IF($O91="",0,COUNTIFS('9. Payroll Allocation'!$B$234:$B$253,$O91,'9. Payroll Allocation'!$H$234:$H$253,"Tied out"))&gt;0,"Linked","MISSING DETAIL")))</f>
        <v/>
      </c>
      <c r="T91" s="58" t="str">
        <f t="shared" si="16"/>
        <v/>
      </c>
      <c r="U91" s="59" t="str">
        <f>IF($T91="","",COUNTIF($T$6:$T91,"?*"))</f>
        <v/>
      </c>
      <c r="V91" s="58" t="str">
        <f t="shared" si="17"/>
        <v/>
      </c>
    </row>
    <row r="92" spans="1:22" ht="12.95" customHeight="1" x14ac:dyDescent="0.25">
      <c r="A92" s="52" t="str">
        <f t="shared" si="9"/>
        <v/>
      </c>
      <c r="B92" s="37"/>
      <c r="C92" s="28"/>
      <c r="D92" s="35"/>
      <c r="E92" s="38"/>
      <c r="F92" s="38"/>
      <c r="G92" s="52" t="str">
        <f t="shared" si="10"/>
        <v/>
      </c>
      <c r="H92" s="53" t="str">
        <f t="shared" si="11"/>
        <v/>
      </c>
      <c r="I92" s="40"/>
      <c r="J92" s="54" t="str">
        <f t="shared" si="12"/>
        <v/>
      </c>
      <c r="K92" s="41" t="str">
        <f t="shared" si="13"/>
        <v/>
      </c>
      <c r="L92" s="55"/>
      <c r="M92" s="56">
        <f t="shared" si="14"/>
        <v>0</v>
      </c>
      <c r="N92" s="56">
        <f t="shared" si="15"/>
        <v>0</v>
      </c>
      <c r="O92" s="57"/>
      <c r="P92" s="40"/>
      <c r="Q92" s="52" t="str">
        <f>IF($D92="","",IF($K92&lt;&gt;"Balance Sheet / Clearing","-",IF(SUMPRODUCT(--(LEFT('7. Settlements'!$J$8:$J$107,7)=$A92),--('7. Settlements'!$M$8:$M$107="Tied out"))+SUMPRODUCT(--(LEFT('8. Transfers'!$H$9:$H$108,7)=$A92),--('8. Transfers'!$J$9:$J$108="Matched"))+SUMPRODUCT(--(LEFT('8. Transfers'!$I$9:$I$108,7)=$A92),--('8. Transfers'!$J$9:$J$108="Matched"))+IF($O92="",0,COUNTIFS('9. Payroll Allocation'!$B$234:$B$253,$O92,'9. Payroll Allocation'!$H$234:$H$253,"Tied out"))&gt;0,"Linked","MISSING DETAIL")))</f>
        <v/>
      </c>
      <c r="T92" s="58" t="str">
        <f t="shared" si="16"/>
        <v/>
      </c>
      <c r="U92" s="59" t="str">
        <f>IF($T92="","",COUNTIF($T$6:$T92,"?*"))</f>
        <v/>
      </c>
      <c r="V92" s="58" t="str">
        <f t="shared" si="17"/>
        <v/>
      </c>
    </row>
    <row r="93" spans="1:22" ht="12.95" customHeight="1" x14ac:dyDescent="0.25">
      <c r="A93" s="60" t="str">
        <f t="shared" si="9"/>
        <v/>
      </c>
      <c r="B93" s="37"/>
      <c r="C93" s="28"/>
      <c r="D93" s="35"/>
      <c r="E93" s="38"/>
      <c r="F93" s="38"/>
      <c r="G93" s="60" t="str">
        <f t="shared" si="10"/>
        <v/>
      </c>
      <c r="H93" s="61" t="str">
        <f t="shared" si="11"/>
        <v/>
      </c>
      <c r="I93" s="40"/>
      <c r="J93" s="62" t="str">
        <f t="shared" si="12"/>
        <v/>
      </c>
      <c r="K93" s="45" t="str">
        <f t="shared" si="13"/>
        <v/>
      </c>
      <c r="L93" s="55"/>
      <c r="M93" s="63">
        <f t="shared" si="14"/>
        <v>0</v>
      </c>
      <c r="N93" s="63">
        <f t="shared" si="15"/>
        <v>0</v>
      </c>
      <c r="O93" s="57"/>
      <c r="P93" s="40"/>
      <c r="Q93" s="60" t="str">
        <f>IF($D93="","",IF($K93&lt;&gt;"Balance Sheet / Clearing","-",IF(SUMPRODUCT(--(LEFT('7. Settlements'!$J$8:$J$107,7)=$A93),--('7. Settlements'!$M$8:$M$107="Tied out"))+SUMPRODUCT(--(LEFT('8. Transfers'!$H$9:$H$108,7)=$A93),--('8. Transfers'!$J$9:$J$108="Matched"))+SUMPRODUCT(--(LEFT('8. Transfers'!$I$9:$I$108,7)=$A93),--('8. Transfers'!$J$9:$J$108="Matched"))+IF($O93="",0,COUNTIFS('9. Payroll Allocation'!$B$234:$B$253,$O93,'9. Payroll Allocation'!$H$234:$H$253,"Tied out"))&gt;0,"Linked","MISSING DETAIL")))</f>
        <v/>
      </c>
      <c r="T93" s="58" t="str">
        <f t="shared" si="16"/>
        <v/>
      </c>
      <c r="U93" s="59" t="str">
        <f>IF($T93="","",COUNTIF($T$6:$T93,"?*"))</f>
        <v/>
      </c>
      <c r="V93" s="58" t="str">
        <f t="shared" si="17"/>
        <v/>
      </c>
    </row>
    <row r="94" spans="1:22" ht="12.95" customHeight="1" x14ac:dyDescent="0.25">
      <c r="A94" s="52" t="str">
        <f t="shared" si="9"/>
        <v/>
      </c>
      <c r="B94" s="37"/>
      <c r="C94" s="28"/>
      <c r="D94" s="35"/>
      <c r="E94" s="38"/>
      <c r="F94" s="38"/>
      <c r="G94" s="52" t="str">
        <f t="shared" si="10"/>
        <v/>
      </c>
      <c r="H94" s="53" t="str">
        <f t="shared" si="11"/>
        <v/>
      </c>
      <c r="I94" s="40"/>
      <c r="J94" s="54" t="str">
        <f t="shared" si="12"/>
        <v/>
      </c>
      <c r="K94" s="41" t="str">
        <f t="shared" si="13"/>
        <v/>
      </c>
      <c r="L94" s="55"/>
      <c r="M94" s="56">
        <f t="shared" si="14"/>
        <v>0</v>
      </c>
      <c r="N94" s="56">
        <f t="shared" si="15"/>
        <v>0</v>
      </c>
      <c r="O94" s="57"/>
      <c r="P94" s="40"/>
      <c r="Q94" s="52" t="str">
        <f>IF($D94="","",IF($K94&lt;&gt;"Balance Sheet / Clearing","-",IF(SUMPRODUCT(--(LEFT('7. Settlements'!$J$8:$J$107,7)=$A94),--('7. Settlements'!$M$8:$M$107="Tied out"))+SUMPRODUCT(--(LEFT('8. Transfers'!$H$9:$H$108,7)=$A94),--('8. Transfers'!$J$9:$J$108="Matched"))+SUMPRODUCT(--(LEFT('8. Transfers'!$I$9:$I$108,7)=$A94),--('8. Transfers'!$J$9:$J$108="Matched"))+IF($O94="",0,COUNTIFS('9. Payroll Allocation'!$B$234:$B$253,$O94,'9. Payroll Allocation'!$H$234:$H$253,"Tied out"))&gt;0,"Linked","MISSING DETAIL")))</f>
        <v/>
      </c>
      <c r="T94" s="58" t="str">
        <f t="shared" si="16"/>
        <v/>
      </c>
      <c r="U94" s="59" t="str">
        <f>IF($T94="","",COUNTIF($T$6:$T94,"?*"))</f>
        <v/>
      </c>
      <c r="V94" s="58" t="str">
        <f t="shared" si="17"/>
        <v/>
      </c>
    </row>
    <row r="95" spans="1:22" ht="12.95" customHeight="1" x14ac:dyDescent="0.25">
      <c r="A95" s="60" t="str">
        <f t="shared" si="9"/>
        <v/>
      </c>
      <c r="B95" s="37"/>
      <c r="C95" s="28"/>
      <c r="D95" s="35"/>
      <c r="E95" s="38"/>
      <c r="F95" s="38"/>
      <c r="G95" s="60" t="str">
        <f t="shared" si="10"/>
        <v/>
      </c>
      <c r="H95" s="61" t="str">
        <f t="shared" si="11"/>
        <v/>
      </c>
      <c r="I95" s="40"/>
      <c r="J95" s="62" t="str">
        <f t="shared" si="12"/>
        <v/>
      </c>
      <c r="K95" s="45" t="str">
        <f t="shared" si="13"/>
        <v/>
      </c>
      <c r="L95" s="55"/>
      <c r="M95" s="63">
        <f t="shared" si="14"/>
        <v>0</v>
      </c>
      <c r="N95" s="63">
        <f t="shared" si="15"/>
        <v>0</v>
      </c>
      <c r="O95" s="57"/>
      <c r="P95" s="40"/>
      <c r="Q95" s="60" t="str">
        <f>IF($D95="","",IF($K95&lt;&gt;"Balance Sheet / Clearing","-",IF(SUMPRODUCT(--(LEFT('7. Settlements'!$J$8:$J$107,7)=$A95),--('7. Settlements'!$M$8:$M$107="Tied out"))+SUMPRODUCT(--(LEFT('8. Transfers'!$H$9:$H$108,7)=$A95),--('8. Transfers'!$J$9:$J$108="Matched"))+SUMPRODUCT(--(LEFT('8. Transfers'!$I$9:$I$108,7)=$A95),--('8. Transfers'!$J$9:$J$108="Matched"))+IF($O95="",0,COUNTIFS('9. Payroll Allocation'!$B$234:$B$253,$O95,'9. Payroll Allocation'!$H$234:$H$253,"Tied out"))&gt;0,"Linked","MISSING DETAIL")))</f>
        <v/>
      </c>
      <c r="T95" s="58" t="str">
        <f t="shared" si="16"/>
        <v/>
      </c>
      <c r="U95" s="59" t="str">
        <f>IF($T95="","",COUNTIF($T$6:$T95,"?*"))</f>
        <v/>
      </c>
      <c r="V95" s="58" t="str">
        <f t="shared" si="17"/>
        <v/>
      </c>
    </row>
    <row r="96" spans="1:22" ht="12.95" customHeight="1" x14ac:dyDescent="0.25">
      <c r="A96" s="52" t="str">
        <f t="shared" si="9"/>
        <v/>
      </c>
      <c r="B96" s="37"/>
      <c r="C96" s="28"/>
      <c r="D96" s="35"/>
      <c r="E96" s="38"/>
      <c r="F96" s="38"/>
      <c r="G96" s="52" t="str">
        <f t="shared" si="10"/>
        <v/>
      </c>
      <c r="H96" s="53" t="str">
        <f t="shared" si="11"/>
        <v/>
      </c>
      <c r="I96" s="40"/>
      <c r="J96" s="54" t="str">
        <f t="shared" si="12"/>
        <v/>
      </c>
      <c r="K96" s="41" t="str">
        <f t="shared" si="13"/>
        <v/>
      </c>
      <c r="L96" s="55"/>
      <c r="M96" s="56">
        <f t="shared" si="14"/>
        <v>0</v>
      </c>
      <c r="N96" s="56">
        <f t="shared" si="15"/>
        <v>0</v>
      </c>
      <c r="O96" s="57"/>
      <c r="P96" s="40"/>
      <c r="Q96" s="52" t="str">
        <f>IF($D96="","",IF($K96&lt;&gt;"Balance Sheet / Clearing","-",IF(SUMPRODUCT(--(LEFT('7. Settlements'!$J$8:$J$107,7)=$A96),--('7. Settlements'!$M$8:$M$107="Tied out"))+SUMPRODUCT(--(LEFT('8. Transfers'!$H$9:$H$108,7)=$A96),--('8. Transfers'!$J$9:$J$108="Matched"))+SUMPRODUCT(--(LEFT('8. Transfers'!$I$9:$I$108,7)=$A96),--('8. Transfers'!$J$9:$J$108="Matched"))+IF($O96="",0,COUNTIFS('9. Payroll Allocation'!$B$234:$B$253,$O96,'9. Payroll Allocation'!$H$234:$H$253,"Tied out"))&gt;0,"Linked","MISSING DETAIL")))</f>
        <v/>
      </c>
      <c r="T96" s="58" t="str">
        <f t="shared" si="16"/>
        <v/>
      </c>
      <c r="U96" s="59" t="str">
        <f>IF($T96="","",COUNTIF($T$6:$T96,"?*"))</f>
        <v/>
      </c>
      <c r="V96" s="58" t="str">
        <f t="shared" si="17"/>
        <v/>
      </c>
    </row>
    <row r="97" spans="1:22" ht="12.95" customHeight="1" x14ac:dyDescent="0.25">
      <c r="A97" s="60" t="str">
        <f t="shared" si="9"/>
        <v/>
      </c>
      <c r="B97" s="37"/>
      <c r="C97" s="28"/>
      <c r="D97" s="35"/>
      <c r="E97" s="38"/>
      <c r="F97" s="38"/>
      <c r="G97" s="60" t="str">
        <f t="shared" si="10"/>
        <v/>
      </c>
      <c r="H97" s="61" t="str">
        <f t="shared" si="11"/>
        <v/>
      </c>
      <c r="I97" s="40"/>
      <c r="J97" s="62" t="str">
        <f t="shared" si="12"/>
        <v/>
      </c>
      <c r="K97" s="45" t="str">
        <f t="shared" si="13"/>
        <v/>
      </c>
      <c r="L97" s="55"/>
      <c r="M97" s="63">
        <f t="shared" si="14"/>
        <v>0</v>
      </c>
      <c r="N97" s="63">
        <f t="shared" si="15"/>
        <v>0</v>
      </c>
      <c r="O97" s="57"/>
      <c r="P97" s="40"/>
      <c r="Q97" s="60" t="str">
        <f>IF($D97="","",IF($K97&lt;&gt;"Balance Sheet / Clearing","-",IF(SUMPRODUCT(--(LEFT('7. Settlements'!$J$8:$J$107,7)=$A97),--('7. Settlements'!$M$8:$M$107="Tied out"))+SUMPRODUCT(--(LEFT('8. Transfers'!$H$9:$H$108,7)=$A97),--('8. Transfers'!$J$9:$J$108="Matched"))+SUMPRODUCT(--(LEFT('8. Transfers'!$I$9:$I$108,7)=$A97),--('8. Transfers'!$J$9:$J$108="Matched"))+IF($O97="",0,COUNTIFS('9. Payroll Allocation'!$B$234:$B$253,$O97,'9. Payroll Allocation'!$H$234:$H$253,"Tied out"))&gt;0,"Linked","MISSING DETAIL")))</f>
        <v/>
      </c>
      <c r="T97" s="58" t="str">
        <f t="shared" si="16"/>
        <v/>
      </c>
      <c r="U97" s="59" t="str">
        <f>IF($T97="","",COUNTIF($T$6:$T97,"?*"))</f>
        <v/>
      </c>
      <c r="V97" s="58" t="str">
        <f t="shared" si="17"/>
        <v/>
      </c>
    </row>
    <row r="98" spans="1:22" ht="12.95" customHeight="1" x14ac:dyDescent="0.25">
      <c r="A98" s="52" t="str">
        <f t="shared" si="9"/>
        <v/>
      </c>
      <c r="B98" s="37"/>
      <c r="C98" s="28"/>
      <c r="D98" s="35"/>
      <c r="E98" s="38"/>
      <c r="F98" s="38"/>
      <c r="G98" s="52" t="str">
        <f t="shared" si="10"/>
        <v/>
      </c>
      <c r="H98" s="53" t="str">
        <f t="shared" si="11"/>
        <v/>
      </c>
      <c r="I98" s="40"/>
      <c r="J98" s="54" t="str">
        <f t="shared" si="12"/>
        <v/>
      </c>
      <c r="K98" s="41" t="str">
        <f t="shared" si="13"/>
        <v/>
      </c>
      <c r="L98" s="55"/>
      <c r="M98" s="56">
        <f t="shared" si="14"/>
        <v>0</v>
      </c>
      <c r="N98" s="56">
        <f t="shared" si="15"/>
        <v>0</v>
      </c>
      <c r="O98" s="57"/>
      <c r="P98" s="40"/>
      <c r="Q98" s="52" t="str">
        <f>IF($D98="","",IF($K98&lt;&gt;"Balance Sheet / Clearing","-",IF(SUMPRODUCT(--(LEFT('7. Settlements'!$J$8:$J$107,7)=$A98),--('7. Settlements'!$M$8:$M$107="Tied out"))+SUMPRODUCT(--(LEFT('8. Transfers'!$H$9:$H$108,7)=$A98),--('8. Transfers'!$J$9:$J$108="Matched"))+SUMPRODUCT(--(LEFT('8. Transfers'!$I$9:$I$108,7)=$A98),--('8. Transfers'!$J$9:$J$108="Matched"))+IF($O98="",0,COUNTIFS('9. Payroll Allocation'!$B$234:$B$253,$O98,'9. Payroll Allocation'!$H$234:$H$253,"Tied out"))&gt;0,"Linked","MISSING DETAIL")))</f>
        <v/>
      </c>
      <c r="T98" s="58" t="str">
        <f t="shared" si="16"/>
        <v/>
      </c>
      <c r="U98" s="59" t="str">
        <f>IF($T98="","",COUNTIF($T$6:$T98,"?*"))</f>
        <v/>
      </c>
      <c r="V98" s="58" t="str">
        <f t="shared" si="17"/>
        <v/>
      </c>
    </row>
    <row r="99" spans="1:22" ht="12.95" customHeight="1" x14ac:dyDescent="0.25">
      <c r="A99" s="60" t="str">
        <f t="shared" si="9"/>
        <v/>
      </c>
      <c r="B99" s="37"/>
      <c r="C99" s="28"/>
      <c r="D99" s="35"/>
      <c r="E99" s="38"/>
      <c r="F99" s="38"/>
      <c r="G99" s="60" t="str">
        <f t="shared" si="10"/>
        <v/>
      </c>
      <c r="H99" s="61" t="str">
        <f t="shared" si="11"/>
        <v/>
      </c>
      <c r="I99" s="40"/>
      <c r="J99" s="62" t="str">
        <f t="shared" si="12"/>
        <v/>
      </c>
      <c r="K99" s="45" t="str">
        <f t="shared" si="13"/>
        <v/>
      </c>
      <c r="L99" s="55"/>
      <c r="M99" s="63">
        <f t="shared" si="14"/>
        <v>0</v>
      </c>
      <c r="N99" s="63">
        <f t="shared" si="15"/>
        <v>0</v>
      </c>
      <c r="O99" s="57"/>
      <c r="P99" s="40"/>
      <c r="Q99" s="60" t="str">
        <f>IF($D99="","",IF($K99&lt;&gt;"Balance Sheet / Clearing","-",IF(SUMPRODUCT(--(LEFT('7. Settlements'!$J$8:$J$107,7)=$A99),--('7. Settlements'!$M$8:$M$107="Tied out"))+SUMPRODUCT(--(LEFT('8. Transfers'!$H$9:$H$108,7)=$A99),--('8. Transfers'!$J$9:$J$108="Matched"))+SUMPRODUCT(--(LEFT('8. Transfers'!$I$9:$I$108,7)=$A99),--('8. Transfers'!$J$9:$J$108="Matched"))+IF($O99="",0,COUNTIFS('9. Payroll Allocation'!$B$234:$B$253,$O99,'9. Payroll Allocation'!$H$234:$H$253,"Tied out"))&gt;0,"Linked","MISSING DETAIL")))</f>
        <v/>
      </c>
      <c r="T99" s="58" t="str">
        <f t="shared" si="16"/>
        <v/>
      </c>
      <c r="U99" s="59" t="str">
        <f>IF($T99="","",COUNTIF($T$6:$T99,"?*"))</f>
        <v/>
      </c>
      <c r="V99" s="58" t="str">
        <f t="shared" si="17"/>
        <v/>
      </c>
    </row>
    <row r="100" spans="1:22" ht="12.95" customHeight="1" x14ac:dyDescent="0.25">
      <c r="A100" s="52" t="str">
        <f t="shared" si="9"/>
        <v/>
      </c>
      <c r="B100" s="37"/>
      <c r="C100" s="28"/>
      <c r="D100" s="35"/>
      <c r="E100" s="38"/>
      <c r="F100" s="38"/>
      <c r="G100" s="52" t="str">
        <f t="shared" si="10"/>
        <v/>
      </c>
      <c r="H100" s="53" t="str">
        <f t="shared" si="11"/>
        <v/>
      </c>
      <c r="I100" s="40"/>
      <c r="J100" s="54" t="str">
        <f t="shared" si="12"/>
        <v/>
      </c>
      <c r="K100" s="41" t="str">
        <f t="shared" si="13"/>
        <v/>
      </c>
      <c r="L100" s="55"/>
      <c r="M100" s="56">
        <f t="shared" si="14"/>
        <v>0</v>
      </c>
      <c r="N100" s="56">
        <f t="shared" si="15"/>
        <v>0</v>
      </c>
      <c r="O100" s="57"/>
      <c r="P100" s="40"/>
      <c r="Q100" s="52" t="str">
        <f>IF($D100="","",IF($K100&lt;&gt;"Balance Sheet / Clearing","-",IF(SUMPRODUCT(--(LEFT('7. Settlements'!$J$8:$J$107,7)=$A100),--('7. Settlements'!$M$8:$M$107="Tied out"))+SUMPRODUCT(--(LEFT('8. Transfers'!$H$9:$H$108,7)=$A100),--('8. Transfers'!$J$9:$J$108="Matched"))+SUMPRODUCT(--(LEFT('8. Transfers'!$I$9:$I$108,7)=$A100),--('8. Transfers'!$J$9:$J$108="Matched"))+IF($O100="",0,COUNTIFS('9. Payroll Allocation'!$B$234:$B$253,$O100,'9. Payroll Allocation'!$H$234:$H$253,"Tied out"))&gt;0,"Linked","MISSING DETAIL")))</f>
        <v/>
      </c>
      <c r="T100" s="58" t="str">
        <f t="shared" si="16"/>
        <v/>
      </c>
      <c r="U100" s="59" t="str">
        <f>IF($T100="","",COUNTIF($T$6:$T100,"?*"))</f>
        <v/>
      </c>
      <c r="V100" s="58" t="str">
        <f t="shared" si="17"/>
        <v/>
      </c>
    </row>
    <row r="101" spans="1:22" ht="12.95" customHeight="1" x14ac:dyDescent="0.25">
      <c r="A101" s="60" t="str">
        <f t="shared" si="9"/>
        <v/>
      </c>
      <c r="B101" s="37"/>
      <c r="C101" s="28"/>
      <c r="D101" s="35"/>
      <c r="E101" s="38"/>
      <c r="F101" s="38"/>
      <c r="G101" s="60" t="str">
        <f t="shared" si="10"/>
        <v/>
      </c>
      <c r="H101" s="61" t="str">
        <f t="shared" si="11"/>
        <v/>
      </c>
      <c r="I101" s="40"/>
      <c r="J101" s="62" t="str">
        <f t="shared" si="12"/>
        <v/>
      </c>
      <c r="K101" s="45" t="str">
        <f t="shared" si="13"/>
        <v/>
      </c>
      <c r="L101" s="55"/>
      <c r="M101" s="63">
        <f t="shared" si="14"/>
        <v>0</v>
      </c>
      <c r="N101" s="63">
        <f t="shared" si="15"/>
        <v>0</v>
      </c>
      <c r="O101" s="57"/>
      <c r="P101" s="40"/>
      <c r="Q101" s="60" t="str">
        <f>IF($D101="","",IF($K101&lt;&gt;"Balance Sheet / Clearing","-",IF(SUMPRODUCT(--(LEFT('7. Settlements'!$J$8:$J$107,7)=$A101),--('7. Settlements'!$M$8:$M$107="Tied out"))+SUMPRODUCT(--(LEFT('8. Transfers'!$H$9:$H$108,7)=$A101),--('8. Transfers'!$J$9:$J$108="Matched"))+SUMPRODUCT(--(LEFT('8. Transfers'!$I$9:$I$108,7)=$A101),--('8. Transfers'!$J$9:$J$108="Matched"))+IF($O101="",0,COUNTIFS('9. Payroll Allocation'!$B$234:$B$253,$O101,'9. Payroll Allocation'!$H$234:$H$253,"Tied out"))&gt;0,"Linked","MISSING DETAIL")))</f>
        <v/>
      </c>
      <c r="T101" s="58" t="str">
        <f t="shared" si="16"/>
        <v/>
      </c>
      <c r="U101" s="59" t="str">
        <f>IF($T101="","",COUNTIF($T$6:$T101,"?*"))</f>
        <v/>
      </c>
      <c r="V101" s="58" t="str">
        <f t="shared" si="17"/>
        <v/>
      </c>
    </row>
    <row r="102" spans="1:22" ht="12.95" customHeight="1" x14ac:dyDescent="0.25">
      <c r="A102" s="52" t="str">
        <f t="shared" si="9"/>
        <v/>
      </c>
      <c r="B102" s="37"/>
      <c r="C102" s="28"/>
      <c r="D102" s="35"/>
      <c r="E102" s="38"/>
      <c r="F102" s="38"/>
      <c r="G102" s="52" t="str">
        <f t="shared" si="10"/>
        <v/>
      </c>
      <c r="H102" s="53" t="str">
        <f t="shared" si="11"/>
        <v/>
      </c>
      <c r="I102" s="40"/>
      <c r="J102" s="54" t="str">
        <f t="shared" si="12"/>
        <v/>
      </c>
      <c r="K102" s="41" t="str">
        <f t="shared" si="13"/>
        <v/>
      </c>
      <c r="L102" s="55"/>
      <c r="M102" s="56">
        <f t="shared" si="14"/>
        <v>0</v>
      </c>
      <c r="N102" s="56">
        <f t="shared" si="15"/>
        <v>0</v>
      </c>
      <c r="O102" s="57"/>
      <c r="P102" s="40"/>
      <c r="Q102" s="52" t="str">
        <f>IF($D102="","",IF($K102&lt;&gt;"Balance Sheet / Clearing","-",IF(SUMPRODUCT(--(LEFT('7. Settlements'!$J$8:$J$107,7)=$A102),--('7. Settlements'!$M$8:$M$107="Tied out"))+SUMPRODUCT(--(LEFT('8. Transfers'!$H$9:$H$108,7)=$A102),--('8. Transfers'!$J$9:$J$108="Matched"))+SUMPRODUCT(--(LEFT('8. Transfers'!$I$9:$I$108,7)=$A102),--('8. Transfers'!$J$9:$J$108="Matched"))+IF($O102="",0,COUNTIFS('9. Payroll Allocation'!$B$234:$B$253,$O102,'9. Payroll Allocation'!$H$234:$H$253,"Tied out"))&gt;0,"Linked","MISSING DETAIL")))</f>
        <v/>
      </c>
      <c r="T102" s="58" t="str">
        <f t="shared" si="16"/>
        <v/>
      </c>
      <c r="U102" s="59" t="str">
        <f>IF($T102="","",COUNTIF($T$6:$T102,"?*"))</f>
        <v/>
      </c>
      <c r="V102" s="58" t="str">
        <f t="shared" si="17"/>
        <v/>
      </c>
    </row>
    <row r="103" spans="1:22" ht="12.95" customHeight="1" x14ac:dyDescent="0.25">
      <c r="A103" s="60" t="str">
        <f t="shared" si="9"/>
        <v/>
      </c>
      <c r="B103" s="37"/>
      <c r="C103" s="28"/>
      <c r="D103" s="35"/>
      <c r="E103" s="38"/>
      <c r="F103" s="38"/>
      <c r="G103" s="60" t="str">
        <f t="shared" si="10"/>
        <v/>
      </c>
      <c r="H103" s="61" t="str">
        <f t="shared" si="11"/>
        <v/>
      </c>
      <c r="I103" s="40"/>
      <c r="J103" s="62" t="str">
        <f t="shared" si="12"/>
        <v/>
      </c>
      <c r="K103" s="45" t="str">
        <f t="shared" si="13"/>
        <v/>
      </c>
      <c r="L103" s="55"/>
      <c r="M103" s="63">
        <f t="shared" si="14"/>
        <v>0</v>
      </c>
      <c r="N103" s="63">
        <f t="shared" si="15"/>
        <v>0</v>
      </c>
      <c r="O103" s="57"/>
      <c r="P103" s="40"/>
      <c r="Q103" s="60" t="str">
        <f>IF($D103="","",IF($K103&lt;&gt;"Balance Sheet / Clearing","-",IF(SUMPRODUCT(--(LEFT('7. Settlements'!$J$8:$J$107,7)=$A103),--('7. Settlements'!$M$8:$M$107="Tied out"))+SUMPRODUCT(--(LEFT('8. Transfers'!$H$9:$H$108,7)=$A103),--('8. Transfers'!$J$9:$J$108="Matched"))+SUMPRODUCT(--(LEFT('8. Transfers'!$I$9:$I$108,7)=$A103),--('8. Transfers'!$J$9:$J$108="Matched"))+IF($O103="",0,COUNTIFS('9. Payroll Allocation'!$B$234:$B$253,$O103,'9. Payroll Allocation'!$H$234:$H$253,"Tied out"))&gt;0,"Linked","MISSING DETAIL")))</f>
        <v/>
      </c>
      <c r="T103" s="58" t="str">
        <f t="shared" si="16"/>
        <v/>
      </c>
      <c r="U103" s="59" t="str">
        <f>IF($T103="","",COUNTIF($T$6:$T103,"?*"))</f>
        <v/>
      </c>
      <c r="V103" s="58" t="str">
        <f t="shared" si="17"/>
        <v/>
      </c>
    </row>
    <row r="104" spans="1:22" ht="12.95" customHeight="1" x14ac:dyDescent="0.25">
      <c r="A104" s="52" t="str">
        <f t="shared" si="9"/>
        <v/>
      </c>
      <c r="B104" s="37"/>
      <c r="C104" s="28"/>
      <c r="D104" s="35"/>
      <c r="E104" s="38"/>
      <c r="F104" s="38"/>
      <c r="G104" s="52" t="str">
        <f t="shared" si="10"/>
        <v/>
      </c>
      <c r="H104" s="53" t="str">
        <f t="shared" si="11"/>
        <v/>
      </c>
      <c r="I104" s="40"/>
      <c r="J104" s="54" t="str">
        <f t="shared" si="12"/>
        <v/>
      </c>
      <c r="K104" s="41" t="str">
        <f t="shared" si="13"/>
        <v/>
      </c>
      <c r="L104" s="55"/>
      <c r="M104" s="56">
        <f t="shared" si="14"/>
        <v>0</v>
      </c>
      <c r="N104" s="56">
        <f t="shared" si="15"/>
        <v>0</v>
      </c>
      <c r="O104" s="57"/>
      <c r="P104" s="40"/>
      <c r="Q104" s="52" t="str">
        <f>IF($D104="","",IF($K104&lt;&gt;"Balance Sheet / Clearing","-",IF(SUMPRODUCT(--(LEFT('7. Settlements'!$J$8:$J$107,7)=$A104),--('7. Settlements'!$M$8:$M$107="Tied out"))+SUMPRODUCT(--(LEFT('8. Transfers'!$H$9:$H$108,7)=$A104),--('8. Transfers'!$J$9:$J$108="Matched"))+SUMPRODUCT(--(LEFT('8. Transfers'!$I$9:$I$108,7)=$A104),--('8. Transfers'!$J$9:$J$108="Matched"))+IF($O104="",0,COUNTIFS('9. Payroll Allocation'!$B$234:$B$253,$O104,'9. Payroll Allocation'!$H$234:$H$253,"Tied out"))&gt;0,"Linked","MISSING DETAIL")))</f>
        <v/>
      </c>
      <c r="T104" s="58" t="str">
        <f t="shared" si="16"/>
        <v/>
      </c>
      <c r="U104" s="59" t="str">
        <f>IF($T104="","",COUNTIF($T$6:$T104,"?*"))</f>
        <v/>
      </c>
      <c r="V104" s="58" t="str">
        <f t="shared" si="17"/>
        <v/>
      </c>
    </row>
    <row r="105" spans="1:22" ht="12.95" customHeight="1" x14ac:dyDescent="0.25">
      <c r="A105" s="60" t="str">
        <f t="shared" si="9"/>
        <v/>
      </c>
      <c r="B105" s="37"/>
      <c r="C105" s="28"/>
      <c r="D105" s="35"/>
      <c r="E105" s="38"/>
      <c r="F105" s="38"/>
      <c r="G105" s="60" t="str">
        <f t="shared" si="10"/>
        <v/>
      </c>
      <c r="H105" s="61" t="str">
        <f t="shared" si="11"/>
        <v/>
      </c>
      <c r="I105" s="40"/>
      <c r="J105" s="62" t="str">
        <f t="shared" si="12"/>
        <v/>
      </c>
      <c r="K105" s="45" t="str">
        <f t="shared" si="13"/>
        <v/>
      </c>
      <c r="L105" s="55"/>
      <c r="M105" s="63">
        <f t="shared" si="14"/>
        <v>0</v>
      </c>
      <c r="N105" s="63">
        <f t="shared" si="15"/>
        <v>0</v>
      </c>
      <c r="O105" s="57"/>
      <c r="P105" s="40"/>
      <c r="Q105" s="60" t="str">
        <f>IF($D105="","",IF($K105&lt;&gt;"Balance Sheet / Clearing","-",IF(SUMPRODUCT(--(LEFT('7. Settlements'!$J$8:$J$107,7)=$A105),--('7. Settlements'!$M$8:$M$107="Tied out"))+SUMPRODUCT(--(LEFT('8. Transfers'!$H$9:$H$108,7)=$A105),--('8. Transfers'!$J$9:$J$108="Matched"))+SUMPRODUCT(--(LEFT('8. Transfers'!$I$9:$I$108,7)=$A105),--('8. Transfers'!$J$9:$J$108="Matched"))+IF($O105="",0,COUNTIFS('9. Payroll Allocation'!$B$234:$B$253,$O105,'9. Payroll Allocation'!$H$234:$H$253,"Tied out"))&gt;0,"Linked","MISSING DETAIL")))</f>
        <v/>
      </c>
      <c r="T105" s="58" t="str">
        <f t="shared" si="16"/>
        <v/>
      </c>
      <c r="U105" s="59" t="str">
        <f>IF($T105="","",COUNTIF($T$6:$T105,"?*"))</f>
        <v/>
      </c>
      <c r="V105" s="58" t="str">
        <f t="shared" si="17"/>
        <v/>
      </c>
    </row>
    <row r="106" spans="1:22" ht="12.95" customHeight="1" x14ac:dyDescent="0.25">
      <c r="A106" s="52" t="str">
        <f t="shared" si="9"/>
        <v/>
      </c>
      <c r="B106" s="37"/>
      <c r="C106" s="28"/>
      <c r="D106" s="35"/>
      <c r="E106" s="38"/>
      <c r="F106" s="38"/>
      <c r="G106" s="52" t="str">
        <f t="shared" si="10"/>
        <v/>
      </c>
      <c r="H106" s="53" t="str">
        <f t="shared" si="11"/>
        <v/>
      </c>
      <c r="I106" s="40"/>
      <c r="J106" s="54" t="str">
        <f t="shared" si="12"/>
        <v/>
      </c>
      <c r="K106" s="41" t="str">
        <f t="shared" si="13"/>
        <v/>
      </c>
      <c r="L106" s="55"/>
      <c r="M106" s="56">
        <f t="shared" si="14"/>
        <v>0</v>
      </c>
      <c r="N106" s="56">
        <f t="shared" si="15"/>
        <v>0</v>
      </c>
      <c r="O106" s="57"/>
      <c r="P106" s="40"/>
      <c r="Q106" s="52" t="str">
        <f>IF($D106="","",IF($K106&lt;&gt;"Balance Sheet / Clearing","-",IF(SUMPRODUCT(--(LEFT('7. Settlements'!$J$8:$J$107,7)=$A106),--('7. Settlements'!$M$8:$M$107="Tied out"))+SUMPRODUCT(--(LEFT('8. Transfers'!$H$9:$H$108,7)=$A106),--('8. Transfers'!$J$9:$J$108="Matched"))+SUMPRODUCT(--(LEFT('8. Transfers'!$I$9:$I$108,7)=$A106),--('8. Transfers'!$J$9:$J$108="Matched"))+IF($O106="",0,COUNTIFS('9. Payroll Allocation'!$B$234:$B$253,$O106,'9. Payroll Allocation'!$H$234:$H$253,"Tied out"))&gt;0,"Linked","MISSING DETAIL")))</f>
        <v/>
      </c>
      <c r="T106" s="58" t="str">
        <f t="shared" si="16"/>
        <v/>
      </c>
      <c r="U106" s="59" t="str">
        <f>IF($T106="","",COUNTIF($T$6:$T106,"?*"))</f>
        <v/>
      </c>
      <c r="V106" s="58" t="str">
        <f t="shared" si="17"/>
        <v/>
      </c>
    </row>
    <row r="107" spans="1:22" ht="12.95" customHeight="1" x14ac:dyDescent="0.25">
      <c r="A107" s="60" t="str">
        <f t="shared" si="9"/>
        <v/>
      </c>
      <c r="B107" s="37"/>
      <c r="C107" s="28"/>
      <c r="D107" s="35"/>
      <c r="E107" s="38"/>
      <c r="F107" s="38"/>
      <c r="G107" s="60" t="str">
        <f t="shared" si="10"/>
        <v/>
      </c>
      <c r="H107" s="61" t="str">
        <f t="shared" si="11"/>
        <v/>
      </c>
      <c r="I107" s="40"/>
      <c r="J107" s="62" t="str">
        <f t="shared" si="12"/>
        <v/>
      </c>
      <c r="K107" s="45" t="str">
        <f t="shared" si="13"/>
        <v/>
      </c>
      <c r="L107" s="55"/>
      <c r="M107" s="63">
        <f t="shared" si="14"/>
        <v>0</v>
      </c>
      <c r="N107" s="63">
        <f t="shared" si="15"/>
        <v>0</v>
      </c>
      <c r="O107" s="57"/>
      <c r="P107" s="40"/>
      <c r="Q107" s="60" t="str">
        <f>IF($D107="","",IF($K107&lt;&gt;"Balance Sheet / Clearing","-",IF(SUMPRODUCT(--(LEFT('7. Settlements'!$J$8:$J$107,7)=$A107),--('7. Settlements'!$M$8:$M$107="Tied out"))+SUMPRODUCT(--(LEFT('8. Transfers'!$H$9:$H$108,7)=$A107),--('8. Transfers'!$J$9:$J$108="Matched"))+SUMPRODUCT(--(LEFT('8. Transfers'!$I$9:$I$108,7)=$A107),--('8. Transfers'!$J$9:$J$108="Matched"))+IF($O107="",0,COUNTIFS('9. Payroll Allocation'!$B$234:$B$253,$O107,'9. Payroll Allocation'!$H$234:$H$253,"Tied out"))&gt;0,"Linked","MISSING DETAIL")))</f>
        <v/>
      </c>
      <c r="T107" s="58" t="str">
        <f t="shared" si="16"/>
        <v/>
      </c>
      <c r="U107" s="59" t="str">
        <f>IF($T107="","",COUNTIF($T$6:$T107,"?*"))</f>
        <v/>
      </c>
      <c r="V107" s="58" t="str">
        <f t="shared" si="17"/>
        <v/>
      </c>
    </row>
    <row r="108" spans="1:22" ht="12.95" customHeight="1" x14ac:dyDescent="0.25">
      <c r="A108" s="52" t="str">
        <f t="shared" si="9"/>
        <v/>
      </c>
      <c r="B108" s="37"/>
      <c r="C108" s="28"/>
      <c r="D108" s="35"/>
      <c r="E108" s="38"/>
      <c r="F108" s="38"/>
      <c r="G108" s="52" t="str">
        <f t="shared" si="10"/>
        <v/>
      </c>
      <c r="H108" s="53" t="str">
        <f t="shared" si="11"/>
        <v/>
      </c>
      <c r="I108" s="40"/>
      <c r="J108" s="54" t="str">
        <f t="shared" si="12"/>
        <v/>
      </c>
      <c r="K108" s="41" t="str">
        <f t="shared" si="13"/>
        <v/>
      </c>
      <c r="L108" s="55"/>
      <c r="M108" s="56">
        <f t="shared" si="14"/>
        <v>0</v>
      </c>
      <c r="N108" s="56">
        <f t="shared" si="15"/>
        <v>0</v>
      </c>
      <c r="O108" s="57"/>
      <c r="P108" s="40"/>
      <c r="Q108" s="52" t="str">
        <f>IF($D108="","",IF($K108&lt;&gt;"Balance Sheet / Clearing","-",IF(SUMPRODUCT(--(LEFT('7. Settlements'!$J$8:$J$107,7)=$A108),--('7. Settlements'!$M$8:$M$107="Tied out"))+SUMPRODUCT(--(LEFT('8. Transfers'!$H$9:$H$108,7)=$A108),--('8. Transfers'!$J$9:$J$108="Matched"))+SUMPRODUCT(--(LEFT('8. Transfers'!$I$9:$I$108,7)=$A108),--('8. Transfers'!$J$9:$J$108="Matched"))+IF($O108="",0,COUNTIFS('9. Payroll Allocation'!$B$234:$B$253,$O108,'9. Payroll Allocation'!$H$234:$H$253,"Tied out"))&gt;0,"Linked","MISSING DETAIL")))</f>
        <v/>
      </c>
      <c r="T108" s="58" t="str">
        <f t="shared" si="16"/>
        <v/>
      </c>
      <c r="U108" s="59" t="str">
        <f>IF($T108="","",COUNTIF($T$6:$T108,"?*"))</f>
        <v/>
      </c>
      <c r="V108" s="58" t="str">
        <f t="shared" si="17"/>
        <v/>
      </c>
    </row>
    <row r="109" spans="1:22" ht="12.95" customHeight="1" x14ac:dyDescent="0.25">
      <c r="A109" s="60" t="str">
        <f t="shared" si="9"/>
        <v/>
      </c>
      <c r="B109" s="37"/>
      <c r="C109" s="28"/>
      <c r="D109" s="35"/>
      <c r="E109" s="38"/>
      <c r="F109" s="38"/>
      <c r="G109" s="60" t="str">
        <f t="shared" si="10"/>
        <v/>
      </c>
      <c r="H109" s="61" t="str">
        <f t="shared" si="11"/>
        <v/>
      </c>
      <c r="I109" s="40"/>
      <c r="J109" s="62" t="str">
        <f t="shared" si="12"/>
        <v/>
      </c>
      <c r="K109" s="45" t="str">
        <f t="shared" si="13"/>
        <v/>
      </c>
      <c r="L109" s="55"/>
      <c r="M109" s="63">
        <f t="shared" si="14"/>
        <v>0</v>
      </c>
      <c r="N109" s="63">
        <f t="shared" si="15"/>
        <v>0</v>
      </c>
      <c r="O109" s="57"/>
      <c r="P109" s="40"/>
      <c r="Q109" s="60" t="str">
        <f>IF($D109="","",IF($K109&lt;&gt;"Balance Sheet / Clearing","-",IF(SUMPRODUCT(--(LEFT('7. Settlements'!$J$8:$J$107,7)=$A109),--('7. Settlements'!$M$8:$M$107="Tied out"))+SUMPRODUCT(--(LEFT('8. Transfers'!$H$9:$H$108,7)=$A109),--('8. Transfers'!$J$9:$J$108="Matched"))+SUMPRODUCT(--(LEFT('8. Transfers'!$I$9:$I$108,7)=$A109),--('8. Transfers'!$J$9:$J$108="Matched"))+IF($O109="",0,COUNTIFS('9. Payroll Allocation'!$B$234:$B$253,$O109,'9. Payroll Allocation'!$H$234:$H$253,"Tied out"))&gt;0,"Linked","MISSING DETAIL")))</f>
        <v/>
      </c>
      <c r="T109" s="58" t="str">
        <f t="shared" si="16"/>
        <v/>
      </c>
      <c r="U109" s="59" t="str">
        <f>IF($T109="","",COUNTIF($T$6:$T109,"?*"))</f>
        <v/>
      </c>
      <c r="V109" s="58" t="str">
        <f t="shared" si="17"/>
        <v/>
      </c>
    </row>
    <row r="110" spans="1:22" ht="12.95" customHeight="1" x14ac:dyDescent="0.25">
      <c r="A110" s="52" t="str">
        <f t="shared" si="9"/>
        <v/>
      </c>
      <c r="B110" s="37"/>
      <c r="C110" s="28"/>
      <c r="D110" s="35"/>
      <c r="E110" s="38"/>
      <c r="F110" s="38"/>
      <c r="G110" s="52" t="str">
        <f t="shared" si="10"/>
        <v/>
      </c>
      <c r="H110" s="53" t="str">
        <f t="shared" si="11"/>
        <v/>
      </c>
      <c r="I110" s="40"/>
      <c r="J110" s="54" t="str">
        <f t="shared" si="12"/>
        <v/>
      </c>
      <c r="K110" s="41" t="str">
        <f t="shared" si="13"/>
        <v/>
      </c>
      <c r="L110" s="55"/>
      <c r="M110" s="56">
        <f t="shared" si="14"/>
        <v>0</v>
      </c>
      <c r="N110" s="56">
        <f t="shared" si="15"/>
        <v>0</v>
      </c>
      <c r="O110" s="57"/>
      <c r="P110" s="40"/>
      <c r="Q110" s="52" t="str">
        <f>IF($D110="","",IF($K110&lt;&gt;"Balance Sheet / Clearing","-",IF(SUMPRODUCT(--(LEFT('7. Settlements'!$J$8:$J$107,7)=$A110),--('7. Settlements'!$M$8:$M$107="Tied out"))+SUMPRODUCT(--(LEFT('8. Transfers'!$H$9:$H$108,7)=$A110),--('8. Transfers'!$J$9:$J$108="Matched"))+SUMPRODUCT(--(LEFT('8. Transfers'!$I$9:$I$108,7)=$A110),--('8. Transfers'!$J$9:$J$108="Matched"))+IF($O110="",0,COUNTIFS('9. Payroll Allocation'!$B$234:$B$253,$O110,'9. Payroll Allocation'!$H$234:$H$253,"Tied out"))&gt;0,"Linked","MISSING DETAIL")))</f>
        <v/>
      </c>
      <c r="T110" s="58" t="str">
        <f t="shared" si="16"/>
        <v/>
      </c>
      <c r="U110" s="59" t="str">
        <f>IF($T110="","",COUNTIF($T$6:$T110,"?*"))</f>
        <v/>
      </c>
      <c r="V110" s="58" t="str">
        <f t="shared" si="17"/>
        <v/>
      </c>
    </row>
    <row r="111" spans="1:22" ht="12.95" customHeight="1" x14ac:dyDescent="0.25">
      <c r="A111" s="60" t="str">
        <f t="shared" si="9"/>
        <v/>
      </c>
      <c r="B111" s="37"/>
      <c r="C111" s="28"/>
      <c r="D111" s="35"/>
      <c r="E111" s="38"/>
      <c r="F111" s="38"/>
      <c r="G111" s="60" t="str">
        <f t="shared" si="10"/>
        <v/>
      </c>
      <c r="H111" s="61" t="str">
        <f t="shared" si="11"/>
        <v/>
      </c>
      <c r="I111" s="40"/>
      <c r="J111" s="62" t="str">
        <f t="shared" si="12"/>
        <v/>
      </c>
      <c r="K111" s="45" t="str">
        <f t="shared" si="13"/>
        <v/>
      </c>
      <c r="L111" s="55"/>
      <c r="M111" s="63">
        <f t="shared" si="14"/>
        <v>0</v>
      </c>
      <c r="N111" s="63">
        <f t="shared" si="15"/>
        <v>0</v>
      </c>
      <c r="O111" s="57"/>
      <c r="P111" s="40"/>
      <c r="Q111" s="60" t="str">
        <f>IF($D111="","",IF($K111&lt;&gt;"Balance Sheet / Clearing","-",IF(SUMPRODUCT(--(LEFT('7. Settlements'!$J$8:$J$107,7)=$A111),--('7. Settlements'!$M$8:$M$107="Tied out"))+SUMPRODUCT(--(LEFT('8. Transfers'!$H$9:$H$108,7)=$A111),--('8. Transfers'!$J$9:$J$108="Matched"))+SUMPRODUCT(--(LEFT('8. Transfers'!$I$9:$I$108,7)=$A111),--('8. Transfers'!$J$9:$J$108="Matched"))+IF($O111="",0,COUNTIFS('9. Payroll Allocation'!$B$234:$B$253,$O111,'9. Payroll Allocation'!$H$234:$H$253,"Tied out"))&gt;0,"Linked","MISSING DETAIL")))</f>
        <v/>
      </c>
      <c r="T111" s="58" t="str">
        <f t="shared" si="16"/>
        <v/>
      </c>
      <c r="U111" s="59" t="str">
        <f>IF($T111="","",COUNTIF($T$6:$T111,"?*"))</f>
        <v/>
      </c>
      <c r="V111" s="58" t="str">
        <f t="shared" si="17"/>
        <v/>
      </c>
    </row>
    <row r="112" spans="1:22" ht="12.95" customHeight="1" x14ac:dyDescent="0.25">
      <c r="A112" s="52" t="str">
        <f t="shared" si="9"/>
        <v/>
      </c>
      <c r="B112" s="37"/>
      <c r="C112" s="28"/>
      <c r="D112" s="35"/>
      <c r="E112" s="38"/>
      <c r="F112" s="38"/>
      <c r="G112" s="52" t="str">
        <f t="shared" si="10"/>
        <v/>
      </c>
      <c r="H112" s="53" t="str">
        <f t="shared" si="11"/>
        <v/>
      </c>
      <c r="I112" s="40"/>
      <c r="J112" s="54" t="str">
        <f t="shared" si="12"/>
        <v/>
      </c>
      <c r="K112" s="41" t="str">
        <f t="shared" si="13"/>
        <v/>
      </c>
      <c r="L112" s="55"/>
      <c r="M112" s="56">
        <f t="shared" si="14"/>
        <v>0</v>
      </c>
      <c r="N112" s="56">
        <f t="shared" si="15"/>
        <v>0</v>
      </c>
      <c r="O112" s="57"/>
      <c r="P112" s="40"/>
      <c r="Q112" s="52" t="str">
        <f>IF($D112="","",IF($K112&lt;&gt;"Balance Sheet / Clearing","-",IF(SUMPRODUCT(--(LEFT('7. Settlements'!$J$8:$J$107,7)=$A112),--('7. Settlements'!$M$8:$M$107="Tied out"))+SUMPRODUCT(--(LEFT('8. Transfers'!$H$9:$H$108,7)=$A112),--('8. Transfers'!$J$9:$J$108="Matched"))+SUMPRODUCT(--(LEFT('8. Transfers'!$I$9:$I$108,7)=$A112),--('8. Transfers'!$J$9:$J$108="Matched"))+IF($O112="",0,COUNTIFS('9. Payroll Allocation'!$B$234:$B$253,$O112,'9. Payroll Allocation'!$H$234:$H$253,"Tied out"))&gt;0,"Linked","MISSING DETAIL")))</f>
        <v/>
      </c>
      <c r="T112" s="58" t="str">
        <f t="shared" si="16"/>
        <v/>
      </c>
      <c r="U112" s="59" t="str">
        <f>IF($T112="","",COUNTIF($T$6:$T112,"?*"))</f>
        <v/>
      </c>
      <c r="V112" s="58" t="str">
        <f t="shared" si="17"/>
        <v/>
      </c>
    </row>
    <row r="113" spans="1:22" ht="12.95" customHeight="1" x14ac:dyDescent="0.25">
      <c r="A113" s="60" t="str">
        <f t="shared" si="9"/>
        <v/>
      </c>
      <c r="B113" s="37"/>
      <c r="C113" s="28"/>
      <c r="D113" s="35"/>
      <c r="E113" s="38"/>
      <c r="F113" s="38"/>
      <c r="G113" s="60" t="str">
        <f t="shared" si="10"/>
        <v/>
      </c>
      <c r="H113" s="61" t="str">
        <f t="shared" si="11"/>
        <v/>
      </c>
      <c r="I113" s="40"/>
      <c r="J113" s="62" t="str">
        <f t="shared" si="12"/>
        <v/>
      </c>
      <c r="K113" s="45" t="str">
        <f t="shared" si="13"/>
        <v/>
      </c>
      <c r="L113" s="55"/>
      <c r="M113" s="63">
        <f t="shared" si="14"/>
        <v>0</v>
      </c>
      <c r="N113" s="63">
        <f t="shared" si="15"/>
        <v>0</v>
      </c>
      <c r="O113" s="57"/>
      <c r="P113" s="40"/>
      <c r="Q113" s="60" t="str">
        <f>IF($D113="","",IF($K113&lt;&gt;"Balance Sheet / Clearing","-",IF(SUMPRODUCT(--(LEFT('7. Settlements'!$J$8:$J$107,7)=$A113),--('7. Settlements'!$M$8:$M$107="Tied out"))+SUMPRODUCT(--(LEFT('8. Transfers'!$H$9:$H$108,7)=$A113),--('8. Transfers'!$J$9:$J$108="Matched"))+SUMPRODUCT(--(LEFT('8. Transfers'!$I$9:$I$108,7)=$A113),--('8. Transfers'!$J$9:$J$108="Matched"))+IF($O113="",0,COUNTIFS('9. Payroll Allocation'!$B$234:$B$253,$O113,'9. Payroll Allocation'!$H$234:$H$253,"Tied out"))&gt;0,"Linked","MISSING DETAIL")))</f>
        <v/>
      </c>
      <c r="T113" s="58" t="str">
        <f t="shared" si="16"/>
        <v/>
      </c>
      <c r="U113" s="59" t="str">
        <f>IF($T113="","",COUNTIF($T$6:$T113,"?*"))</f>
        <v/>
      </c>
      <c r="V113" s="58" t="str">
        <f t="shared" si="17"/>
        <v/>
      </c>
    </row>
    <row r="114" spans="1:22" ht="12.95" customHeight="1" x14ac:dyDescent="0.25">
      <c r="A114" s="52" t="str">
        <f t="shared" si="9"/>
        <v/>
      </c>
      <c r="B114" s="37"/>
      <c r="C114" s="28"/>
      <c r="D114" s="35"/>
      <c r="E114" s="38"/>
      <c r="F114" s="38"/>
      <c r="G114" s="52" t="str">
        <f t="shared" si="10"/>
        <v/>
      </c>
      <c r="H114" s="53" t="str">
        <f t="shared" si="11"/>
        <v/>
      </c>
      <c r="I114" s="40"/>
      <c r="J114" s="54" t="str">
        <f t="shared" si="12"/>
        <v/>
      </c>
      <c r="K114" s="41" t="str">
        <f t="shared" si="13"/>
        <v/>
      </c>
      <c r="L114" s="55"/>
      <c r="M114" s="56">
        <f t="shared" si="14"/>
        <v>0</v>
      </c>
      <c r="N114" s="56">
        <f t="shared" si="15"/>
        <v>0</v>
      </c>
      <c r="O114" s="57"/>
      <c r="P114" s="40"/>
      <c r="Q114" s="52" t="str">
        <f>IF($D114="","",IF($K114&lt;&gt;"Balance Sheet / Clearing","-",IF(SUMPRODUCT(--(LEFT('7. Settlements'!$J$8:$J$107,7)=$A114),--('7. Settlements'!$M$8:$M$107="Tied out"))+SUMPRODUCT(--(LEFT('8. Transfers'!$H$9:$H$108,7)=$A114),--('8. Transfers'!$J$9:$J$108="Matched"))+SUMPRODUCT(--(LEFT('8. Transfers'!$I$9:$I$108,7)=$A114),--('8. Transfers'!$J$9:$J$108="Matched"))+IF($O114="",0,COUNTIFS('9. Payroll Allocation'!$B$234:$B$253,$O114,'9. Payroll Allocation'!$H$234:$H$253,"Tied out"))&gt;0,"Linked","MISSING DETAIL")))</f>
        <v/>
      </c>
      <c r="T114" s="58" t="str">
        <f t="shared" si="16"/>
        <v/>
      </c>
      <c r="U114" s="59" t="str">
        <f>IF($T114="","",COUNTIF($T$6:$T114,"?*"))</f>
        <v/>
      </c>
      <c r="V114" s="58" t="str">
        <f t="shared" si="17"/>
        <v/>
      </c>
    </row>
    <row r="115" spans="1:22" ht="12.95" customHeight="1" x14ac:dyDescent="0.25">
      <c r="A115" s="60" t="str">
        <f t="shared" si="9"/>
        <v/>
      </c>
      <c r="B115" s="37"/>
      <c r="C115" s="28"/>
      <c r="D115" s="35"/>
      <c r="E115" s="38"/>
      <c r="F115" s="38"/>
      <c r="G115" s="60" t="str">
        <f t="shared" si="10"/>
        <v/>
      </c>
      <c r="H115" s="61" t="str">
        <f t="shared" si="11"/>
        <v/>
      </c>
      <c r="I115" s="40"/>
      <c r="J115" s="62" t="str">
        <f t="shared" si="12"/>
        <v/>
      </c>
      <c r="K115" s="45" t="str">
        <f t="shared" si="13"/>
        <v/>
      </c>
      <c r="L115" s="55"/>
      <c r="M115" s="63">
        <f t="shared" si="14"/>
        <v>0</v>
      </c>
      <c r="N115" s="63">
        <f t="shared" si="15"/>
        <v>0</v>
      </c>
      <c r="O115" s="57"/>
      <c r="P115" s="40"/>
      <c r="Q115" s="60" t="str">
        <f>IF($D115="","",IF($K115&lt;&gt;"Balance Sheet / Clearing","-",IF(SUMPRODUCT(--(LEFT('7. Settlements'!$J$8:$J$107,7)=$A115),--('7. Settlements'!$M$8:$M$107="Tied out"))+SUMPRODUCT(--(LEFT('8. Transfers'!$H$9:$H$108,7)=$A115),--('8. Transfers'!$J$9:$J$108="Matched"))+SUMPRODUCT(--(LEFT('8. Transfers'!$I$9:$I$108,7)=$A115),--('8. Transfers'!$J$9:$J$108="Matched"))+IF($O115="",0,COUNTIFS('9. Payroll Allocation'!$B$234:$B$253,$O115,'9. Payroll Allocation'!$H$234:$H$253,"Tied out"))&gt;0,"Linked","MISSING DETAIL")))</f>
        <v/>
      </c>
      <c r="T115" s="58" t="str">
        <f t="shared" si="16"/>
        <v/>
      </c>
      <c r="U115" s="59" t="str">
        <f>IF($T115="","",COUNTIF($T$6:$T115,"?*"))</f>
        <v/>
      </c>
      <c r="V115" s="58" t="str">
        <f t="shared" si="17"/>
        <v/>
      </c>
    </row>
    <row r="116" spans="1:22" ht="12.95" customHeight="1" x14ac:dyDescent="0.25">
      <c r="A116" s="52" t="str">
        <f t="shared" si="9"/>
        <v/>
      </c>
      <c r="B116" s="37"/>
      <c r="C116" s="28"/>
      <c r="D116" s="35"/>
      <c r="E116" s="38"/>
      <c r="F116" s="38"/>
      <c r="G116" s="52" t="str">
        <f t="shared" si="10"/>
        <v/>
      </c>
      <c r="H116" s="53" t="str">
        <f t="shared" si="11"/>
        <v/>
      </c>
      <c r="I116" s="40"/>
      <c r="J116" s="54" t="str">
        <f t="shared" si="12"/>
        <v/>
      </c>
      <c r="K116" s="41" t="str">
        <f t="shared" si="13"/>
        <v/>
      </c>
      <c r="L116" s="55"/>
      <c r="M116" s="56">
        <f t="shared" si="14"/>
        <v>0</v>
      </c>
      <c r="N116" s="56">
        <f t="shared" si="15"/>
        <v>0</v>
      </c>
      <c r="O116" s="57"/>
      <c r="P116" s="40"/>
      <c r="Q116" s="52" t="str">
        <f>IF($D116="","",IF($K116&lt;&gt;"Balance Sheet / Clearing","-",IF(SUMPRODUCT(--(LEFT('7. Settlements'!$J$8:$J$107,7)=$A116),--('7. Settlements'!$M$8:$M$107="Tied out"))+SUMPRODUCT(--(LEFT('8. Transfers'!$H$9:$H$108,7)=$A116),--('8. Transfers'!$J$9:$J$108="Matched"))+SUMPRODUCT(--(LEFT('8. Transfers'!$I$9:$I$108,7)=$A116),--('8. Transfers'!$J$9:$J$108="Matched"))+IF($O116="",0,COUNTIFS('9. Payroll Allocation'!$B$234:$B$253,$O116,'9. Payroll Allocation'!$H$234:$H$253,"Tied out"))&gt;0,"Linked","MISSING DETAIL")))</f>
        <v/>
      </c>
      <c r="T116" s="58" t="str">
        <f t="shared" si="16"/>
        <v/>
      </c>
      <c r="U116" s="59" t="str">
        <f>IF($T116="","",COUNTIF($T$6:$T116,"?*"))</f>
        <v/>
      </c>
      <c r="V116" s="58" t="str">
        <f t="shared" si="17"/>
        <v/>
      </c>
    </row>
    <row r="117" spans="1:22" ht="12.95" customHeight="1" x14ac:dyDescent="0.25">
      <c r="A117" s="60" t="str">
        <f t="shared" si="9"/>
        <v/>
      </c>
      <c r="B117" s="37"/>
      <c r="C117" s="28"/>
      <c r="D117" s="35"/>
      <c r="E117" s="38"/>
      <c r="F117" s="38"/>
      <c r="G117" s="60" t="str">
        <f t="shared" si="10"/>
        <v/>
      </c>
      <c r="H117" s="61" t="str">
        <f t="shared" si="11"/>
        <v/>
      </c>
      <c r="I117" s="40"/>
      <c r="J117" s="62" t="str">
        <f t="shared" si="12"/>
        <v/>
      </c>
      <c r="K117" s="45" t="str">
        <f t="shared" si="13"/>
        <v/>
      </c>
      <c r="L117" s="55"/>
      <c r="M117" s="63">
        <f t="shared" si="14"/>
        <v>0</v>
      </c>
      <c r="N117" s="63">
        <f t="shared" si="15"/>
        <v>0</v>
      </c>
      <c r="O117" s="57"/>
      <c r="P117" s="40"/>
      <c r="Q117" s="60" t="str">
        <f>IF($D117="","",IF($K117&lt;&gt;"Balance Sheet / Clearing","-",IF(SUMPRODUCT(--(LEFT('7. Settlements'!$J$8:$J$107,7)=$A117),--('7. Settlements'!$M$8:$M$107="Tied out"))+SUMPRODUCT(--(LEFT('8. Transfers'!$H$9:$H$108,7)=$A117),--('8. Transfers'!$J$9:$J$108="Matched"))+SUMPRODUCT(--(LEFT('8. Transfers'!$I$9:$I$108,7)=$A117),--('8. Transfers'!$J$9:$J$108="Matched"))+IF($O117="",0,COUNTIFS('9. Payroll Allocation'!$B$234:$B$253,$O117,'9. Payroll Allocation'!$H$234:$H$253,"Tied out"))&gt;0,"Linked","MISSING DETAIL")))</f>
        <v/>
      </c>
      <c r="T117" s="58" t="str">
        <f t="shared" si="16"/>
        <v/>
      </c>
      <c r="U117" s="59" t="str">
        <f>IF($T117="","",COUNTIF($T$6:$T117,"?*"))</f>
        <v/>
      </c>
      <c r="V117" s="58" t="str">
        <f t="shared" si="17"/>
        <v/>
      </c>
    </row>
    <row r="118" spans="1:22" ht="12.95" customHeight="1" x14ac:dyDescent="0.25">
      <c r="A118" s="52" t="str">
        <f t="shared" si="9"/>
        <v/>
      </c>
      <c r="B118" s="37"/>
      <c r="C118" s="28"/>
      <c r="D118" s="35"/>
      <c r="E118" s="38"/>
      <c r="F118" s="38"/>
      <c r="G118" s="52" t="str">
        <f t="shared" si="10"/>
        <v/>
      </c>
      <c r="H118" s="53" t="str">
        <f t="shared" si="11"/>
        <v/>
      </c>
      <c r="I118" s="40"/>
      <c r="J118" s="54" t="str">
        <f t="shared" si="12"/>
        <v/>
      </c>
      <c r="K118" s="41" t="str">
        <f t="shared" si="13"/>
        <v/>
      </c>
      <c r="L118" s="55"/>
      <c r="M118" s="56">
        <f t="shared" si="14"/>
        <v>0</v>
      </c>
      <c r="N118" s="56">
        <f t="shared" si="15"/>
        <v>0</v>
      </c>
      <c r="O118" s="57"/>
      <c r="P118" s="40"/>
      <c r="Q118" s="52" t="str">
        <f>IF($D118="","",IF($K118&lt;&gt;"Balance Sheet / Clearing","-",IF(SUMPRODUCT(--(LEFT('7. Settlements'!$J$8:$J$107,7)=$A118),--('7. Settlements'!$M$8:$M$107="Tied out"))+SUMPRODUCT(--(LEFT('8. Transfers'!$H$9:$H$108,7)=$A118),--('8. Transfers'!$J$9:$J$108="Matched"))+SUMPRODUCT(--(LEFT('8. Transfers'!$I$9:$I$108,7)=$A118),--('8. Transfers'!$J$9:$J$108="Matched"))+IF($O118="",0,COUNTIFS('9. Payroll Allocation'!$B$234:$B$253,$O118,'9. Payroll Allocation'!$H$234:$H$253,"Tied out"))&gt;0,"Linked","MISSING DETAIL")))</f>
        <v/>
      </c>
      <c r="T118" s="58" t="str">
        <f t="shared" si="16"/>
        <v/>
      </c>
      <c r="U118" s="59" t="str">
        <f>IF($T118="","",COUNTIF($T$6:$T118,"?*"))</f>
        <v/>
      </c>
      <c r="V118" s="58" t="str">
        <f t="shared" si="17"/>
        <v/>
      </c>
    </row>
    <row r="119" spans="1:22" ht="12.95" customHeight="1" x14ac:dyDescent="0.25">
      <c r="A119" s="60" t="str">
        <f t="shared" si="9"/>
        <v/>
      </c>
      <c r="B119" s="37"/>
      <c r="C119" s="28"/>
      <c r="D119" s="35"/>
      <c r="E119" s="38"/>
      <c r="F119" s="38"/>
      <c r="G119" s="60" t="str">
        <f t="shared" si="10"/>
        <v/>
      </c>
      <c r="H119" s="61" t="str">
        <f t="shared" si="11"/>
        <v/>
      </c>
      <c r="I119" s="40"/>
      <c r="J119" s="62" t="str">
        <f t="shared" si="12"/>
        <v/>
      </c>
      <c r="K119" s="45" t="str">
        <f t="shared" si="13"/>
        <v/>
      </c>
      <c r="L119" s="55"/>
      <c r="M119" s="63">
        <f t="shared" si="14"/>
        <v>0</v>
      </c>
      <c r="N119" s="63">
        <f t="shared" si="15"/>
        <v>0</v>
      </c>
      <c r="O119" s="57"/>
      <c r="P119" s="40"/>
      <c r="Q119" s="60" t="str">
        <f>IF($D119="","",IF($K119&lt;&gt;"Balance Sheet / Clearing","-",IF(SUMPRODUCT(--(LEFT('7. Settlements'!$J$8:$J$107,7)=$A119),--('7. Settlements'!$M$8:$M$107="Tied out"))+SUMPRODUCT(--(LEFT('8. Transfers'!$H$9:$H$108,7)=$A119),--('8. Transfers'!$J$9:$J$108="Matched"))+SUMPRODUCT(--(LEFT('8. Transfers'!$I$9:$I$108,7)=$A119),--('8. Transfers'!$J$9:$J$108="Matched"))+IF($O119="",0,COUNTIFS('9. Payroll Allocation'!$B$234:$B$253,$O119,'9. Payroll Allocation'!$H$234:$H$253,"Tied out"))&gt;0,"Linked","MISSING DETAIL")))</f>
        <v/>
      </c>
      <c r="T119" s="58" t="str">
        <f t="shared" si="16"/>
        <v/>
      </c>
      <c r="U119" s="59" t="str">
        <f>IF($T119="","",COUNTIF($T$6:$T119,"?*"))</f>
        <v/>
      </c>
      <c r="V119" s="58" t="str">
        <f t="shared" si="17"/>
        <v/>
      </c>
    </row>
    <row r="120" spans="1:22" ht="12.95" customHeight="1" x14ac:dyDescent="0.25">
      <c r="A120" s="52" t="str">
        <f t="shared" si="9"/>
        <v/>
      </c>
      <c r="B120" s="37"/>
      <c r="C120" s="28"/>
      <c r="D120" s="35"/>
      <c r="E120" s="38"/>
      <c r="F120" s="38"/>
      <c r="G120" s="52" t="str">
        <f t="shared" si="10"/>
        <v/>
      </c>
      <c r="H120" s="53" t="str">
        <f t="shared" si="11"/>
        <v/>
      </c>
      <c r="I120" s="40"/>
      <c r="J120" s="54" t="str">
        <f t="shared" si="12"/>
        <v/>
      </c>
      <c r="K120" s="41" t="str">
        <f t="shared" si="13"/>
        <v/>
      </c>
      <c r="L120" s="55"/>
      <c r="M120" s="56">
        <f t="shared" si="14"/>
        <v>0</v>
      </c>
      <c r="N120" s="56">
        <f t="shared" si="15"/>
        <v>0</v>
      </c>
      <c r="O120" s="57"/>
      <c r="P120" s="40"/>
      <c r="Q120" s="52" t="str">
        <f>IF($D120="","",IF($K120&lt;&gt;"Balance Sheet / Clearing","-",IF(SUMPRODUCT(--(LEFT('7. Settlements'!$J$8:$J$107,7)=$A120),--('7. Settlements'!$M$8:$M$107="Tied out"))+SUMPRODUCT(--(LEFT('8. Transfers'!$H$9:$H$108,7)=$A120),--('8. Transfers'!$J$9:$J$108="Matched"))+SUMPRODUCT(--(LEFT('8. Transfers'!$I$9:$I$108,7)=$A120),--('8. Transfers'!$J$9:$J$108="Matched"))+IF($O120="",0,COUNTIFS('9. Payroll Allocation'!$B$234:$B$253,$O120,'9. Payroll Allocation'!$H$234:$H$253,"Tied out"))&gt;0,"Linked","MISSING DETAIL")))</f>
        <v/>
      </c>
      <c r="T120" s="58" t="str">
        <f t="shared" si="16"/>
        <v/>
      </c>
      <c r="U120" s="59" t="str">
        <f>IF($T120="","",COUNTIF($T$6:$T120,"?*"))</f>
        <v/>
      </c>
      <c r="V120" s="58" t="str">
        <f t="shared" si="17"/>
        <v/>
      </c>
    </row>
    <row r="121" spans="1:22" ht="12.95" customHeight="1" x14ac:dyDescent="0.25">
      <c r="A121" s="60" t="str">
        <f t="shared" si="9"/>
        <v/>
      </c>
      <c r="B121" s="37"/>
      <c r="C121" s="28"/>
      <c r="D121" s="35"/>
      <c r="E121" s="38"/>
      <c r="F121" s="38"/>
      <c r="G121" s="60" t="str">
        <f t="shared" si="10"/>
        <v/>
      </c>
      <c r="H121" s="61" t="str">
        <f t="shared" si="11"/>
        <v/>
      </c>
      <c r="I121" s="40"/>
      <c r="J121" s="62" t="str">
        <f t="shared" si="12"/>
        <v/>
      </c>
      <c r="K121" s="45" t="str">
        <f t="shared" si="13"/>
        <v/>
      </c>
      <c r="L121" s="55"/>
      <c r="M121" s="63">
        <f t="shared" si="14"/>
        <v>0</v>
      </c>
      <c r="N121" s="63">
        <f t="shared" si="15"/>
        <v>0</v>
      </c>
      <c r="O121" s="57"/>
      <c r="P121" s="40"/>
      <c r="Q121" s="60" t="str">
        <f>IF($D121="","",IF($K121&lt;&gt;"Balance Sheet / Clearing","-",IF(SUMPRODUCT(--(LEFT('7. Settlements'!$J$8:$J$107,7)=$A121),--('7. Settlements'!$M$8:$M$107="Tied out"))+SUMPRODUCT(--(LEFT('8. Transfers'!$H$9:$H$108,7)=$A121),--('8. Transfers'!$J$9:$J$108="Matched"))+SUMPRODUCT(--(LEFT('8. Transfers'!$I$9:$I$108,7)=$A121),--('8. Transfers'!$J$9:$J$108="Matched"))+IF($O121="",0,COUNTIFS('9. Payroll Allocation'!$B$234:$B$253,$O121,'9. Payroll Allocation'!$H$234:$H$253,"Tied out"))&gt;0,"Linked","MISSING DETAIL")))</f>
        <v/>
      </c>
      <c r="T121" s="58" t="str">
        <f t="shared" si="16"/>
        <v/>
      </c>
      <c r="U121" s="59" t="str">
        <f>IF($T121="","",COUNTIF($T$6:$T121,"?*"))</f>
        <v/>
      </c>
      <c r="V121" s="58" t="str">
        <f t="shared" si="17"/>
        <v/>
      </c>
    </row>
    <row r="122" spans="1:22" ht="12.95" customHeight="1" x14ac:dyDescent="0.25">
      <c r="A122" s="52" t="str">
        <f t="shared" si="9"/>
        <v/>
      </c>
      <c r="B122" s="37"/>
      <c r="C122" s="28"/>
      <c r="D122" s="35"/>
      <c r="E122" s="38"/>
      <c r="F122" s="38"/>
      <c r="G122" s="52" t="str">
        <f t="shared" si="10"/>
        <v/>
      </c>
      <c r="H122" s="53" t="str">
        <f t="shared" si="11"/>
        <v/>
      </c>
      <c r="I122" s="40"/>
      <c r="J122" s="54" t="str">
        <f t="shared" si="12"/>
        <v/>
      </c>
      <c r="K122" s="41" t="str">
        <f t="shared" si="13"/>
        <v/>
      </c>
      <c r="L122" s="55"/>
      <c r="M122" s="56">
        <f t="shared" si="14"/>
        <v>0</v>
      </c>
      <c r="N122" s="56">
        <f t="shared" si="15"/>
        <v>0</v>
      </c>
      <c r="O122" s="57"/>
      <c r="P122" s="40"/>
      <c r="Q122" s="52" t="str">
        <f>IF($D122="","",IF($K122&lt;&gt;"Balance Sheet / Clearing","-",IF(SUMPRODUCT(--(LEFT('7. Settlements'!$J$8:$J$107,7)=$A122),--('7. Settlements'!$M$8:$M$107="Tied out"))+SUMPRODUCT(--(LEFT('8. Transfers'!$H$9:$H$108,7)=$A122),--('8. Transfers'!$J$9:$J$108="Matched"))+SUMPRODUCT(--(LEFT('8. Transfers'!$I$9:$I$108,7)=$A122),--('8. Transfers'!$J$9:$J$108="Matched"))+IF($O122="",0,COUNTIFS('9. Payroll Allocation'!$B$234:$B$253,$O122,'9. Payroll Allocation'!$H$234:$H$253,"Tied out"))&gt;0,"Linked","MISSING DETAIL")))</f>
        <v/>
      </c>
      <c r="T122" s="58" t="str">
        <f t="shared" si="16"/>
        <v/>
      </c>
      <c r="U122" s="59" t="str">
        <f>IF($T122="","",COUNTIF($T$6:$T122,"?*"))</f>
        <v/>
      </c>
      <c r="V122" s="58" t="str">
        <f t="shared" si="17"/>
        <v/>
      </c>
    </row>
    <row r="123" spans="1:22" ht="12.95" customHeight="1" x14ac:dyDescent="0.25">
      <c r="A123" s="60" t="str">
        <f t="shared" si="9"/>
        <v/>
      </c>
      <c r="B123" s="37"/>
      <c r="C123" s="28"/>
      <c r="D123" s="35"/>
      <c r="E123" s="38"/>
      <c r="F123" s="38"/>
      <c r="G123" s="60" t="str">
        <f t="shared" si="10"/>
        <v/>
      </c>
      <c r="H123" s="61" t="str">
        <f t="shared" si="11"/>
        <v/>
      </c>
      <c r="I123" s="40"/>
      <c r="J123" s="62" t="str">
        <f t="shared" si="12"/>
        <v/>
      </c>
      <c r="K123" s="45" t="str">
        <f t="shared" si="13"/>
        <v/>
      </c>
      <c r="L123" s="55"/>
      <c r="M123" s="63">
        <f t="shared" si="14"/>
        <v>0</v>
      </c>
      <c r="N123" s="63">
        <f t="shared" si="15"/>
        <v>0</v>
      </c>
      <c r="O123" s="57"/>
      <c r="P123" s="40"/>
      <c r="Q123" s="60" t="str">
        <f>IF($D123="","",IF($K123&lt;&gt;"Balance Sheet / Clearing","-",IF(SUMPRODUCT(--(LEFT('7. Settlements'!$J$8:$J$107,7)=$A123),--('7. Settlements'!$M$8:$M$107="Tied out"))+SUMPRODUCT(--(LEFT('8. Transfers'!$H$9:$H$108,7)=$A123),--('8. Transfers'!$J$9:$J$108="Matched"))+SUMPRODUCT(--(LEFT('8. Transfers'!$I$9:$I$108,7)=$A123),--('8. Transfers'!$J$9:$J$108="Matched"))+IF($O123="",0,COUNTIFS('9. Payroll Allocation'!$B$234:$B$253,$O123,'9. Payroll Allocation'!$H$234:$H$253,"Tied out"))&gt;0,"Linked","MISSING DETAIL")))</f>
        <v/>
      </c>
      <c r="T123" s="58" t="str">
        <f t="shared" si="16"/>
        <v/>
      </c>
      <c r="U123" s="59" t="str">
        <f>IF($T123="","",COUNTIF($T$6:$T123,"?*"))</f>
        <v/>
      </c>
      <c r="V123" s="58" t="str">
        <f t="shared" si="17"/>
        <v/>
      </c>
    </row>
    <row r="124" spans="1:22" ht="12.95" customHeight="1" x14ac:dyDescent="0.25">
      <c r="A124" s="52" t="str">
        <f t="shared" si="9"/>
        <v/>
      </c>
      <c r="B124" s="37"/>
      <c r="C124" s="28"/>
      <c r="D124" s="35"/>
      <c r="E124" s="38"/>
      <c r="F124" s="38"/>
      <c r="G124" s="52" t="str">
        <f t="shared" si="10"/>
        <v/>
      </c>
      <c r="H124" s="53" t="str">
        <f t="shared" si="11"/>
        <v/>
      </c>
      <c r="I124" s="40"/>
      <c r="J124" s="54" t="str">
        <f t="shared" si="12"/>
        <v/>
      </c>
      <c r="K124" s="41" t="str">
        <f t="shared" si="13"/>
        <v/>
      </c>
      <c r="L124" s="55"/>
      <c r="M124" s="56">
        <f t="shared" si="14"/>
        <v>0</v>
      </c>
      <c r="N124" s="56">
        <f t="shared" si="15"/>
        <v>0</v>
      </c>
      <c r="O124" s="57"/>
      <c r="P124" s="40"/>
      <c r="Q124" s="52" t="str">
        <f>IF($D124="","",IF($K124&lt;&gt;"Balance Sheet / Clearing","-",IF(SUMPRODUCT(--(LEFT('7. Settlements'!$J$8:$J$107,7)=$A124),--('7. Settlements'!$M$8:$M$107="Tied out"))+SUMPRODUCT(--(LEFT('8. Transfers'!$H$9:$H$108,7)=$A124),--('8. Transfers'!$J$9:$J$108="Matched"))+SUMPRODUCT(--(LEFT('8. Transfers'!$I$9:$I$108,7)=$A124),--('8. Transfers'!$J$9:$J$108="Matched"))+IF($O124="",0,COUNTIFS('9. Payroll Allocation'!$B$234:$B$253,$O124,'9. Payroll Allocation'!$H$234:$H$253,"Tied out"))&gt;0,"Linked","MISSING DETAIL")))</f>
        <v/>
      </c>
      <c r="T124" s="58" t="str">
        <f t="shared" si="16"/>
        <v/>
      </c>
      <c r="U124" s="59" t="str">
        <f>IF($T124="","",COUNTIF($T$6:$T124,"?*"))</f>
        <v/>
      </c>
      <c r="V124" s="58" t="str">
        <f t="shared" si="17"/>
        <v/>
      </c>
    </row>
    <row r="125" spans="1:22" ht="12.95" customHeight="1" x14ac:dyDescent="0.25">
      <c r="A125" s="60" t="str">
        <f t="shared" si="9"/>
        <v/>
      </c>
      <c r="B125" s="37"/>
      <c r="C125" s="28"/>
      <c r="D125" s="35"/>
      <c r="E125" s="38"/>
      <c r="F125" s="38"/>
      <c r="G125" s="60" t="str">
        <f t="shared" si="10"/>
        <v/>
      </c>
      <c r="H125" s="61" t="str">
        <f t="shared" si="11"/>
        <v/>
      </c>
      <c r="I125" s="40"/>
      <c r="J125" s="62" t="str">
        <f t="shared" si="12"/>
        <v/>
      </c>
      <c r="K125" s="45" t="str">
        <f t="shared" si="13"/>
        <v/>
      </c>
      <c r="L125" s="55"/>
      <c r="M125" s="63">
        <f t="shared" si="14"/>
        <v>0</v>
      </c>
      <c r="N125" s="63">
        <f t="shared" si="15"/>
        <v>0</v>
      </c>
      <c r="O125" s="57"/>
      <c r="P125" s="40"/>
      <c r="Q125" s="60" t="str">
        <f>IF($D125="","",IF($K125&lt;&gt;"Balance Sheet / Clearing","-",IF(SUMPRODUCT(--(LEFT('7. Settlements'!$J$8:$J$107,7)=$A125),--('7. Settlements'!$M$8:$M$107="Tied out"))+SUMPRODUCT(--(LEFT('8. Transfers'!$H$9:$H$108,7)=$A125),--('8. Transfers'!$J$9:$J$108="Matched"))+SUMPRODUCT(--(LEFT('8. Transfers'!$I$9:$I$108,7)=$A125),--('8. Transfers'!$J$9:$J$108="Matched"))+IF($O125="",0,COUNTIFS('9. Payroll Allocation'!$B$234:$B$253,$O125,'9. Payroll Allocation'!$H$234:$H$253,"Tied out"))&gt;0,"Linked","MISSING DETAIL")))</f>
        <v/>
      </c>
      <c r="T125" s="58" t="str">
        <f t="shared" si="16"/>
        <v/>
      </c>
      <c r="U125" s="59" t="str">
        <f>IF($T125="","",COUNTIF($T$6:$T125,"?*"))</f>
        <v/>
      </c>
      <c r="V125" s="58" t="str">
        <f t="shared" si="17"/>
        <v/>
      </c>
    </row>
    <row r="126" spans="1:22" ht="12.95" customHeight="1" x14ac:dyDescent="0.25">
      <c r="A126" s="52" t="str">
        <f t="shared" si="9"/>
        <v/>
      </c>
      <c r="B126" s="37"/>
      <c r="C126" s="28"/>
      <c r="D126" s="35"/>
      <c r="E126" s="38"/>
      <c r="F126" s="38"/>
      <c r="G126" s="52" t="str">
        <f t="shared" si="10"/>
        <v/>
      </c>
      <c r="H126" s="53" t="str">
        <f t="shared" si="11"/>
        <v/>
      </c>
      <c r="I126" s="40"/>
      <c r="J126" s="54" t="str">
        <f t="shared" si="12"/>
        <v/>
      </c>
      <c r="K126" s="41" t="str">
        <f t="shared" si="13"/>
        <v/>
      </c>
      <c r="L126" s="55"/>
      <c r="M126" s="56">
        <f t="shared" si="14"/>
        <v>0</v>
      </c>
      <c r="N126" s="56">
        <f t="shared" si="15"/>
        <v>0</v>
      </c>
      <c r="O126" s="57"/>
      <c r="P126" s="40"/>
      <c r="Q126" s="52" t="str">
        <f>IF($D126="","",IF($K126&lt;&gt;"Balance Sheet / Clearing","-",IF(SUMPRODUCT(--(LEFT('7. Settlements'!$J$8:$J$107,7)=$A126),--('7. Settlements'!$M$8:$M$107="Tied out"))+SUMPRODUCT(--(LEFT('8. Transfers'!$H$9:$H$108,7)=$A126),--('8. Transfers'!$J$9:$J$108="Matched"))+SUMPRODUCT(--(LEFT('8. Transfers'!$I$9:$I$108,7)=$A126),--('8. Transfers'!$J$9:$J$108="Matched"))+IF($O126="",0,COUNTIFS('9. Payroll Allocation'!$B$234:$B$253,$O126,'9. Payroll Allocation'!$H$234:$H$253,"Tied out"))&gt;0,"Linked","MISSING DETAIL")))</f>
        <v/>
      </c>
      <c r="T126" s="58" t="str">
        <f t="shared" si="16"/>
        <v/>
      </c>
      <c r="U126" s="59" t="str">
        <f>IF($T126="","",COUNTIF($T$6:$T126,"?*"))</f>
        <v/>
      </c>
      <c r="V126" s="58" t="str">
        <f t="shared" si="17"/>
        <v/>
      </c>
    </row>
    <row r="127" spans="1:22" ht="12.95" customHeight="1" x14ac:dyDescent="0.25">
      <c r="A127" s="60" t="str">
        <f t="shared" si="9"/>
        <v/>
      </c>
      <c r="B127" s="37"/>
      <c r="C127" s="28"/>
      <c r="D127" s="35"/>
      <c r="E127" s="38"/>
      <c r="F127" s="38"/>
      <c r="G127" s="60" t="str">
        <f t="shared" si="10"/>
        <v/>
      </c>
      <c r="H127" s="61" t="str">
        <f t="shared" si="11"/>
        <v/>
      </c>
      <c r="I127" s="40"/>
      <c r="J127" s="62" t="str">
        <f t="shared" si="12"/>
        <v/>
      </c>
      <c r="K127" s="45" t="str">
        <f t="shared" si="13"/>
        <v/>
      </c>
      <c r="L127" s="55"/>
      <c r="M127" s="63">
        <f t="shared" si="14"/>
        <v>0</v>
      </c>
      <c r="N127" s="63">
        <f t="shared" si="15"/>
        <v>0</v>
      </c>
      <c r="O127" s="57"/>
      <c r="P127" s="40"/>
      <c r="Q127" s="60" t="str">
        <f>IF($D127="","",IF($K127&lt;&gt;"Balance Sheet / Clearing","-",IF(SUMPRODUCT(--(LEFT('7. Settlements'!$J$8:$J$107,7)=$A127),--('7. Settlements'!$M$8:$M$107="Tied out"))+SUMPRODUCT(--(LEFT('8. Transfers'!$H$9:$H$108,7)=$A127),--('8. Transfers'!$J$9:$J$108="Matched"))+SUMPRODUCT(--(LEFT('8. Transfers'!$I$9:$I$108,7)=$A127),--('8. Transfers'!$J$9:$J$108="Matched"))+IF($O127="",0,COUNTIFS('9. Payroll Allocation'!$B$234:$B$253,$O127,'9. Payroll Allocation'!$H$234:$H$253,"Tied out"))&gt;0,"Linked","MISSING DETAIL")))</f>
        <v/>
      </c>
      <c r="T127" s="58" t="str">
        <f t="shared" si="16"/>
        <v/>
      </c>
      <c r="U127" s="59" t="str">
        <f>IF($T127="","",COUNTIF($T$6:$T127,"?*"))</f>
        <v/>
      </c>
      <c r="V127" s="58" t="str">
        <f t="shared" si="17"/>
        <v/>
      </c>
    </row>
    <row r="128" spans="1:22" ht="12.95" customHeight="1" x14ac:dyDescent="0.25">
      <c r="A128" s="52" t="str">
        <f t="shared" si="9"/>
        <v/>
      </c>
      <c r="B128" s="37"/>
      <c r="C128" s="28"/>
      <c r="D128" s="35"/>
      <c r="E128" s="38"/>
      <c r="F128" s="38"/>
      <c r="G128" s="52" t="str">
        <f t="shared" si="10"/>
        <v/>
      </c>
      <c r="H128" s="53" t="str">
        <f t="shared" si="11"/>
        <v/>
      </c>
      <c r="I128" s="40"/>
      <c r="J128" s="54" t="str">
        <f t="shared" si="12"/>
        <v/>
      </c>
      <c r="K128" s="41" t="str">
        <f t="shared" si="13"/>
        <v/>
      </c>
      <c r="L128" s="55"/>
      <c r="M128" s="56">
        <f t="shared" si="14"/>
        <v>0</v>
      </c>
      <c r="N128" s="56">
        <f t="shared" si="15"/>
        <v>0</v>
      </c>
      <c r="O128" s="57"/>
      <c r="P128" s="40"/>
      <c r="Q128" s="52" t="str">
        <f>IF($D128="","",IF($K128&lt;&gt;"Balance Sheet / Clearing","-",IF(SUMPRODUCT(--(LEFT('7. Settlements'!$J$8:$J$107,7)=$A128),--('7. Settlements'!$M$8:$M$107="Tied out"))+SUMPRODUCT(--(LEFT('8. Transfers'!$H$9:$H$108,7)=$A128),--('8. Transfers'!$J$9:$J$108="Matched"))+SUMPRODUCT(--(LEFT('8. Transfers'!$I$9:$I$108,7)=$A128),--('8. Transfers'!$J$9:$J$108="Matched"))+IF($O128="",0,COUNTIFS('9. Payroll Allocation'!$B$234:$B$253,$O128,'9. Payroll Allocation'!$H$234:$H$253,"Tied out"))&gt;0,"Linked","MISSING DETAIL")))</f>
        <v/>
      </c>
      <c r="T128" s="58" t="str">
        <f t="shared" si="16"/>
        <v/>
      </c>
      <c r="U128" s="59" t="str">
        <f>IF($T128="","",COUNTIF($T$6:$T128,"?*"))</f>
        <v/>
      </c>
      <c r="V128" s="58" t="str">
        <f t="shared" si="17"/>
        <v/>
      </c>
    </row>
    <row r="129" spans="1:22" ht="12.95" customHeight="1" x14ac:dyDescent="0.25">
      <c r="A129" s="60" t="str">
        <f t="shared" si="9"/>
        <v/>
      </c>
      <c r="B129" s="37"/>
      <c r="C129" s="28"/>
      <c r="D129" s="35"/>
      <c r="E129" s="38"/>
      <c r="F129" s="38"/>
      <c r="G129" s="60" t="str">
        <f t="shared" si="10"/>
        <v/>
      </c>
      <c r="H129" s="61" t="str">
        <f t="shared" si="11"/>
        <v/>
      </c>
      <c r="I129" s="40"/>
      <c r="J129" s="62" t="str">
        <f t="shared" si="12"/>
        <v/>
      </c>
      <c r="K129" s="45" t="str">
        <f t="shared" si="13"/>
        <v/>
      </c>
      <c r="L129" s="55"/>
      <c r="M129" s="63">
        <f t="shared" si="14"/>
        <v>0</v>
      </c>
      <c r="N129" s="63">
        <f t="shared" si="15"/>
        <v>0</v>
      </c>
      <c r="O129" s="57"/>
      <c r="P129" s="40"/>
      <c r="Q129" s="60" t="str">
        <f>IF($D129="","",IF($K129&lt;&gt;"Balance Sheet / Clearing","-",IF(SUMPRODUCT(--(LEFT('7. Settlements'!$J$8:$J$107,7)=$A129),--('7. Settlements'!$M$8:$M$107="Tied out"))+SUMPRODUCT(--(LEFT('8. Transfers'!$H$9:$H$108,7)=$A129),--('8. Transfers'!$J$9:$J$108="Matched"))+SUMPRODUCT(--(LEFT('8. Transfers'!$I$9:$I$108,7)=$A129),--('8. Transfers'!$J$9:$J$108="Matched"))+IF($O129="",0,COUNTIFS('9. Payroll Allocation'!$B$234:$B$253,$O129,'9. Payroll Allocation'!$H$234:$H$253,"Tied out"))&gt;0,"Linked","MISSING DETAIL")))</f>
        <v/>
      </c>
      <c r="T129" s="58" t="str">
        <f t="shared" si="16"/>
        <v/>
      </c>
      <c r="U129" s="59" t="str">
        <f>IF($T129="","",COUNTIF($T$6:$T129,"?*"))</f>
        <v/>
      </c>
      <c r="V129" s="58" t="str">
        <f t="shared" si="17"/>
        <v/>
      </c>
    </row>
    <row r="130" spans="1:22" ht="12.95" customHeight="1" x14ac:dyDescent="0.25">
      <c r="A130" s="52" t="str">
        <f t="shared" si="9"/>
        <v/>
      </c>
      <c r="B130" s="37"/>
      <c r="C130" s="28"/>
      <c r="D130" s="35"/>
      <c r="E130" s="38"/>
      <c r="F130" s="38"/>
      <c r="G130" s="52" t="str">
        <f t="shared" si="10"/>
        <v/>
      </c>
      <c r="H130" s="53" t="str">
        <f t="shared" si="11"/>
        <v/>
      </c>
      <c r="I130" s="40"/>
      <c r="J130" s="54" t="str">
        <f t="shared" si="12"/>
        <v/>
      </c>
      <c r="K130" s="41" t="str">
        <f t="shared" si="13"/>
        <v/>
      </c>
      <c r="L130" s="55"/>
      <c r="M130" s="56">
        <f t="shared" si="14"/>
        <v>0</v>
      </c>
      <c r="N130" s="56">
        <f t="shared" si="15"/>
        <v>0</v>
      </c>
      <c r="O130" s="57"/>
      <c r="P130" s="40"/>
      <c r="Q130" s="52" t="str">
        <f>IF($D130="","",IF($K130&lt;&gt;"Balance Sheet / Clearing","-",IF(SUMPRODUCT(--(LEFT('7. Settlements'!$J$8:$J$107,7)=$A130),--('7. Settlements'!$M$8:$M$107="Tied out"))+SUMPRODUCT(--(LEFT('8. Transfers'!$H$9:$H$108,7)=$A130),--('8. Transfers'!$J$9:$J$108="Matched"))+SUMPRODUCT(--(LEFT('8. Transfers'!$I$9:$I$108,7)=$A130),--('8. Transfers'!$J$9:$J$108="Matched"))+IF($O130="",0,COUNTIFS('9. Payroll Allocation'!$B$234:$B$253,$O130,'9. Payroll Allocation'!$H$234:$H$253,"Tied out"))&gt;0,"Linked","MISSING DETAIL")))</f>
        <v/>
      </c>
      <c r="T130" s="58" t="str">
        <f t="shared" si="16"/>
        <v/>
      </c>
      <c r="U130" s="59" t="str">
        <f>IF($T130="","",COUNTIF($T$6:$T130,"?*"))</f>
        <v/>
      </c>
      <c r="V130" s="58" t="str">
        <f t="shared" si="17"/>
        <v/>
      </c>
    </row>
    <row r="131" spans="1:22" ht="12.95" customHeight="1" x14ac:dyDescent="0.25">
      <c r="A131" s="60" t="str">
        <f t="shared" si="9"/>
        <v/>
      </c>
      <c r="B131" s="37"/>
      <c r="C131" s="28"/>
      <c r="D131" s="35"/>
      <c r="E131" s="38"/>
      <c r="F131" s="38"/>
      <c r="G131" s="60" t="str">
        <f t="shared" si="10"/>
        <v/>
      </c>
      <c r="H131" s="61" t="str">
        <f t="shared" si="11"/>
        <v/>
      </c>
      <c r="I131" s="40"/>
      <c r="J131" s="62" t="str">
        <f t="shared" si="12"/>
        <v/>
      </c>
      <c r="K131" s="45" t="str">
        <f t="shared" si="13"/>
        <v/>
      </c>
      <c r="L131" s="55"/>
      <c r="M131" s="63">
        <f t="shared" si="14"/>
        <v>0</v>
      </c>
      <c r="N131" s="63">
        <f t="shared" si="15"/>
        <v>0</v>
      </c>
      <c r="O131" s="57"/>
      <c r="P131" s="40"/>
      <c r="Q131" s="60" t="str">
        <f>IF($D131="","",IF($K131&lt;&gt;"Balance Sheet / Clearing","-",IF(SUMPRODUCT(--(LEFT('7. Settlements'!$J$8:$J$107,7)=$A131),--('7. Settlements'!$M$8:$M$107="Tied out"))+SUMPRODUCT(--(LEFT('8. Transfers'!$H$9:$H$108,7)=$A131),--('8. Transfers'!$J$9:$J$108="Matched"))+SUMPRODUCT(--(LEFT('8. Transfers'!$I$9:$I$108,7)=$A131),--('8. Transfers'!$J$9:$J$108="Matched"))+IF($O131="",0,COUNTIFS('9. Payroll Allocation'!$B$234:$B$253,$O131,'9. Payroll Allocation'!$H$234:$H$253,"Tied out"))&gt;0,"Linked","MISSING DETAIL")))</f>
        <v/>
      </c>
      <c r="T131" s="58" t="str">
        <f t="shared" si="16"/>
        <v/>
      </c>
      <c r="U131" s="59" t="str">
        <f>IF($T131="","",COUNTIF($T$6:$T131,"?*"))</f>
        <v/>
      </c>
      <c r="V131" s="58" t="str">
        <f t="shared" si="17"/>
        <v/>
      </c>
    </row>
    <row r="132" spans="1:22" ht="12.95" customHeight="1" x14ac:dyDescent="0.25">
      <c r="A132" s="52" t="str">
        <f t="shared" si="9"/>
        <v/>
      </c>
      <c r="B132" s="37"/>
      <c r="C132" s="28"/>
      <c r="D132" s="35"/>
      <c r="E132" s="38"/>
      <c r="F132" s="38"/>
      <c r="G132" s="52" t="str">
        <f t="shared" si="10"/>
        <v/>
      </c>
      <c r="H132" s="53" t="str">
        <f t="shared" si="11"/>
        <v/>
      </c>
      <c r="I132" s="40"/>
      <c r="J132" s="54" t="str">
        <f t="shared" si="12"/>
        <v/>
      </c>
      <c r="K132" s="41" t="str">
        <f t="shared" si="13"/>
        <v/>
      </c>
      <c r="L132" s="55"/>
      <c r="M132" s="56">
        <f t="shared" si="14"/>
        <v>0</v>
      </c>
      <c r="N132" s="56">
        <f t="shared" si="15"/>
        <v>0</v>
      </c>
      <c r="O132" s="57"/>
      <c r="P132" s="40"/>
      <c r="Q132" s="52" t="str">
        <f>IF($D132="","",IF($K132&lt;&gt;"Balance Sheet / Clearing","-",IF(SUMPRODUCT(--(LEFT('7. Settlements'!$J$8:$J$107,7)=$A132),--('7. Settlements'!$M$8:$M$107="Tied out"))+SUMPRODUCT(--(LEFT('8. Transfers'!$H$9:$H$108,7)=$A132),--('8. Transfers'!$J$9:$J$108="Matched"))+SUMPRODUCT(--(LEFT('8. Transfers'!$I$9:$I$108,7)=$A132),--('8. Transfers'!$J$9:$J$108="Matched"))+IF($O132="",0,COUNTIFS('9. Payroll Allocation'!$B$234:$B$253,$O132,'9. Payroll Allocation'!$H$234:$H$253,"Tied out"))&gt;0,"Linked","MISSING DETAIL")))</f>
        <v/>
      </c>
      <c r="T132" s="58" t="str">
        <f t="shared" si="16"/>
        <v/>
      </c>
      <c r="U132" s="59" t="str">
        <f>IF($T132="","",COUNTIF($T$6:$T132,"?*"))</f>
        <v/>
      </c>
      <c r="V132" s="58" t="str">
        <f t="shared" si="17"/>
        <v/>
      </c>
    </row>
    <row r="133" spans="1:22" ht="12.95" customHeight="1" x14ac:dyDescent="0.25">
      <c r="A133" s="60" t="str">
        <f t="shared" si="9"/>
        <v/>
      </c>
      <c r="B133" s="37"/>
      <c r="C133" s="28"/>
      <c r="D133" s="35"/>
      <c r="E133" s="38"/>
      <c r="F133" s="38"/>
      <c r="G133" s="60" t="str">
        <f t="shared" si="10"/>
        <v/>
      </c>
      <c r="H133" s="61" t="str">
        <f t="shared" si="11"/>
        <v/>
      </c>
      <c r="I133" s="40"/>
      <c r="J133" s="62" t="str">
        <f t="shared" si="12"/>
        <v/>
      </c>
      <c r="K133" s="45" t="str">
        <f t="shared" si="13"/>
        <v/>
      </c>
      <c r="L133" s="55"/>
      <c r="M133" s="63">
        <f t="shared" si="14"/>
        <v>0</v>
      </c>
      <c r="N133" s="63">
        <f t="shared" si="15"/>
        <v>0</v>
      </c>
      <c r="O133" s="57"/>
      <c r="P133" s="40"/>
      <c r="Q133" s="60" t="str">
        <f>IF($D133="","",IF($K133&lt;&gt;"Balance Sheet / Clearing","-",IF(SUMPRODUCT(--(LEFT('7. Settlements'!$J$8:$J$107,7)=$A133),--('7. Settlements'!$M$8:$M$107="Tied out"))+SUMPRODUCT(--(LEFT('8. Transfers'!$H$9:$H$108,7)=$A133),--('8. Transfers'!$J$9:$J$108="Matched"))+SUMPRODUCT(--(LEFT('8. Transfers'!$I$9:$I$108,7)=$A133),--('8. Transfers'!$J$9:$J$108="Matched"))+IF($O133="",0,COUNTIFS('9. Payroll Allocation'!$B$234:$B$253,$O133,'9. Payroll Allocation'!$H$234:$H$253,"Tied out"))&gt;0,"Linked","MISSING DETAIL")))</f>
        <v/>
      </c>
      <c r="T133" s="58" t="str">
        <f t="shared" si="16"/>
        <v/>
      </c>
      <c r="U133" s="59" t="str">
        <f>IF($T133="","",COUNTIF($T$6:$T133,"?*"))</f>
        <v/>
      </c>
      <c r="V133" s="58" t="str">
        <f t="shared" si="17"/>
        <v/>
      </c>
    </row>
    <row r="134" spans="1:22" ht="12.95" customHeight="1" x14ac:dyDescent="0.25">
      <c r="A134" s="52" t="str">
        <f t="shared" ref="A134:A197" si="18">IF($D134="","","TX-"&amp;TEXT(ROW()-5,"0000"))</f>
        <v/>
      </c>
      <c r="B134" s="37"/>
      <c r="C134" s="28"/>
      <c r="D134" s="35"/>
      <c r="E134" s="38"/>
      <c r="F134" s="38"/>
      <c r="G134" s="52" t="str">
        <f t="shared" ref="G134:G197" si="19">IF($D134="","",IFERROR(_xlfn.AGGREGATE(15,6,Rules_Pri/((ISNUMBER(SEARCH(Rules_Key,$D134)))*(Rules_Key&lt;&gt;"")*(Rules_Active="Yes")*((Rules_Dir="Any")+(Rules_Dir=IF(N($E134)&gt;0,"In","Out")))),1),""))</f>
        <v/>
      </c>
      <c r="H134" s="53" t="str">
        <f t="shared" ref="H134:H197" si="20">IF($D134="","",IF($G134="",IF(N($E134)&gt;0,"Uncategorized Deposit - NEEDS REVIEW","Uncategorized - NEEDS REVIEW"),INDEX(Rules_Cat,MATCH(1,INDEX(((ISNUMBER(SEARCH(Rules_Key,$D134)))*(Rules_Key&lt;&gt;"")*(Rules_Active="Yes")*((Rules_Dir="Any")+(Rules_Dir=IF(N($E134)&gt;0,"In","Out"))))*(Rules_Pri=$G134),0),0))))</f>
        <v/>
      </c>
      <c r="I134" s="40"/>
      <c r="J134" s="54" t="str">
        <f t="shared" ref="J134:J197" si="21">IF($D134="","",IF($I134&lt;&gt;"",$I134,$H134))</f>
        <v/>
      </c>
      <c r="K134" s="41" t="str">
        <f t="shared" ref="K134:K197" si="22">IF($J134="","",IFERROR(INDEX(Cat_Treatment,MATCH($J134,Cat_Name,0)),"Review Required"))</f>
        <v/>
      </c>
      <c r="L134" s="55"/>
      <c r="M134" s="56">
        <f t="shared" ref="M134:M197" si="23">IF($K134&lt;&gt;"Operating Expense",0,IF(AND($L134&lt;&gt;"",OR(N($L134)&lt;0,N($L134)&gt;1)),0,ROUND(N($F134)*IF($L134="",1,$L134),2)))</f>
        <v>0</v>
      </c>
      <c r="N134" s="56">
        <f t="shared" ref="N134:N197" si="24">IF($K134="Operating Revenue",ROUND(N($E134)-N($F134),2),0)</f>
        <v>0</v>
      </c>
      <c r="O134" s="57"/>
      <c r="P134" s="40"/>
      <c r="Q134" s="52" t="str">
        <f>IF($D134="","",IF($K134&lt;&gt;"Balance Sheet / Clearing","-",IF(SUMPRODUCT(--(LEFT('7. Settlements'!$J$8:$J$107,7)=$A134),--('7. Settlements'!$M$8:$M$107="Tied out"))+SUMPRODUCT(--(LEFT('8. Transfers'!$H$9:$H$108,7)=$A134),--('8. Transfers'!$J$9:$J$108="Matched"))+SUMPRODUCT(--(LEFT('8. Transfers'!$I$9:$I$108,7)=$A134),--('8. Transfers'!$J$9:$J$108="Matched"))+IF($O134="",0,COUNTIFS('9. Payroll Allocation'!$B$234:$B$253,$O134,'9. Payroll Allocation'!$H$234:$H$253,"Tied out"))&gt;0,"Linked","MISSING DETAIL")))</f>
        <v/>
      </c>
      <c r="T134" s="58" t="str">
        <f t="shared" ref="T134:T197" si="25">IF(OR($D134="",$K134&lt;&gt;"Balance Sheet / Clearing"),"",$A134&amp;" · "&amp;TEXT($B134,"mm/dd")&amp;" · "&amp;LEFT($D134,24)&amp;" · "&amp;TEXT(N($E134)+N($F134),"#,##0.00"))</f>
        <v/>
      </c>
      <c r="U134" s="59" t="str">
        <f>IF($T134="","",COUNTIF($T$6:$T134,"?*"))</f>
        <v/>
      </c>
      <c r="V134" s="58" t="str">
        <f t="shared" ref="V134:V197" si="26">IFERROR(INDEX($T$6:$T$1005,MATCH(ROW()-5,$U$6:$U$1005,0)),"")</f>
        <v/>
      </c>
    </row>
    <row r="135" spans="1:22" ht="12.95" customHeight="1" x14ac:dyDescent="0.25">
      <c r="A135" s="60" t="str">
        <f t="shared" si="18"/>
        <v/>
      </c>
      <c r="B135" s="37"/>
      <c r="C135" s="28"/>
      <c r="D135" s="35"/>
      <c r="E135" s="38"/>
      <c r="F135" s="38"/>
      <c r="G135" s="60" t="str">
        <f t="shared" si="19"/>
        <v/>
      </c>
      <c r="H135" s="61" t="str">
        <f t="shared" si="20"/>
        <v/>
      </c>
      <c r="I135" s="40"/>
      <c r="J135" s="62" t="str">
        <f t="shared" si="21"/>
        <v/>
      </c>
      <c r="K135" s="45" t="str">
        <f t="shared" si="22"/>
        <v/>
      </c>
      <c r="L135" s="55"/>
      <c r="M135" s="63">
        <f t="shared" si="23"/>
        <v>0</v>
      </c>
      <c r="N135" s="63">
        <f t="shared" si="24"/>
        <v>0</v>
      </c>
      <c r="O135" s="57"/>
      <c r="P135" s="40"/>
      <c r="Q135" s="60" t="str">
        <f>IF($D135="","",IF($K135&lt;&gt;"Balance Sheet / Clearing","-",IF(SUMPRODUCT(--(LEFT('7. Settlements'!$J$8:$J$107,7)=$A135),--('7. Settlements'!$M$8:$M$107="Tied out"))+SUMPRODUCT(--(LEFT('8. Transfers'!$H$9:$H$108,7)=$A135),--('8. Transfers'!$J$9:$J$108="Matched"))+SUMPRODUCT(--(LEFT('8. Transfers'!$I$9:$I$108,7)=$A135),--('8. Transfers'!$J$9:$J$108="Matched"))+IF($O135="",0,COUNTIFS('9. Payroll Allocation'!$B$234:$B$253,$O135,'9. Payroll Allocation'!$H$234:$H$253,"Tied out"))&gt;0,"Linked","MISSING DETAIL")))</f>
        <v/>
      </c>
      <c r="T135" s="58" t="str">
        <f t="shared" si="25"/>
        <v/>
      </c>
      <c r="U135" s="59" t="str">
        <f>IF($T135="","",COUNTIF($T$6:$T135,"?*"))</f>
        <v/>
      </c>
      <c r="V135" s="58" t="str">
        <f t="shared" si="26"/>
        <v/>
      </c>
    </row>
    <row r="136" spans="1:22" ht="12.95" customHeight="1" x14ac:dyDescent="0.25">
      <c r="A136" s="52" t="str">
        <f t="shared" si="18"/>
        <v/>
      </c>
      <c r="B136" s="37"/>
      <c r="C136" s="28"/>
      <c r="D136" s="35"/>
      <c r="E136" s="38"/>
      <c r="F136" s="38"/>
      <c r="G136" s="52" t="str">
        <f t="shared" si="19"/>
        <v/>
      </c>
      <c r="H136" s="53" t="str">
        <f t="shared" si="20"/>
        <v/>
      </c>
      <c r="I136" s="40"/>
      <c r="J136" s="54" t="str">
        <f t="shared" si="21"/>
        <v/>
      </c>
      <c r="K136" s="41" t="str">
        <f t="shared" si="22"/>
        <v/>
      </c>
      <c r="L136" s="55"/>
      <c r="M136" s="56">
        <f t="shared" si="23"/>
        <v>0</v>
      </c>
      <c r="N136" s="56">
        <f t="shared" si="24"/>
        <v>0</v>
      </c>
      <c r="O136" s="57"/>
      <c r="P136" s="40"/>
      <c r="Q136" s="52" t="str">
        <f>IF($D136="","",IF($K136&lt;&gt;"Balance Sheet / Clearing","-",IF(SUMPRODUCT(--(LEFT('7. Settlements'!$J$8:$J$107,7)=$A136),--('7. Settlements'!$M$8:$M$107="Tied out"))+SUMPRODUCT(--(LEFT('8. Transfers'!$H$9:$H$108,7)=$A136),--('8. Transfers'!$J$9:$J$108="Matched"))+SUMPRODUCT(--(LEFT('8. Transfers'!$I$9:$I$108,7)=$A136),--('8. Transfers'!$J$9:$J$108="Matched"))+IF($O136="",0,COUNTIFS('9. Payroll Allocation'!$B$234:$B$253,$O136,'9. Payroll Allocation'!$H$234:$H$253,"Tied out"))&gt;0,"Linked","MISSING DETAIL")))</f>
        <v/>
      </c>
      <c r="T136" s="58" t="str">
        <f t="shared" si="25"/>
        <v/>
      </c>
      <c r="U136" s="59" t="str">
        <f>IF($T136="","",COUNTIF($T$6:$T136,"?*"))</f>
        <v/>
      </c>
      <c r="V136" s="58" t="str">
        <f t="shared" si="26"/>
        <v/>
      </c>
    </row>
    <row r="137" spans="1:22" ht="12.95" customHeight="1" x14ac:dyDescent="0.25">
      <c r="A137" s="60" t="str">
        <f t="shared" si="18"/>
        <v/>
      </c>
      <c r="B137" s="37"/>
      <c r="C137" s="28"/>
      <c r="D137" s="35"/>
      <c r="E137" s="38"/>
      <c r="F137" s="38"/>
      <c r="G137" s="60" t="str">
        <f t="shared" si="19"/>
        <v/>
      </c>
      <c r="H137" s="61" t="str">
        <f t="shared" si="20"/>
        <v/>
      </c>
      <c r="I137" s="40"/>
      <c r="J137" s="62" t="str">
        <f t="shared" si="21"/>
        <v/>
      </c>
      <c r="K137" s="45" t="str">
        <f t="shared" si="22"/>
        <v/>
      </c>
      <c r="L137" s="55"/>
      <c r="M137" s="63">
        <f t="shared" si="23"/>
        <v>0</v>
      </c>
      <c r="N137" s="63">
        <f t="shared" si="24"/>
        <v>0</v>
      </c>
      <c r="O137" s="57"/>
      <c r="P137" s="40"/>
      <c r="Q137" s="60" t="str">
        <f>IF($D137="","",IF($K137&lt;&gt;"Balance Sheet / Clearing","-",IF(SUMPRODUCT(--(LEFT('7. Settlements'!$J$8:$J$107,7)=$A137),--('7. Settlements'!$M$8:$M$107="Tied out"))+SUMPRODUCT(--(LEFT('8. Transfers'!$H$9:$H$108,7)=$A137),--('8. Transfers'!$J$9:$J$108="Matched"))+SUMPRODUCT(--(LEFT('8. Transfers'!$I$9:$I$108,7)=$A137),--('8. Transfers'!$J$9:$J$108="Matched"))+IF($O137="",0,COUNTIFS('9. Payroll Allocation'!$B$234:$B$253,$O137,'9. Payroll Allocation'!$H$234:$H$253,"Tied out"))&gt;0,"Linked","MISSING DETAIL")))</f>
        <v/>
      </c>
      <c r="T137" s="58" t="str">
        <f t="shared" si="25"/>
        <v/>
      </c>
      <c r="U137" s="59" t="str">
        <f>IF($T137="","",COUNTIF($T$6:$T137,"?*"))</f>
        <v/>
      </c>
      <c r="V137" s="58" t="str">
        <f t="shared" si="26"/>
        <v/>
      </c>
    </row>
    <row r="138" spans="1:22" ht="12.95" customHeight="1" x14ac:dyDescent="0.25">
      <c r="A138" s="52" t="str">
        <f t="shared" si="18"/>
        <v/>
      </c>
      <c r="B138" s="37"/>
      <c r="C138" s="28"/>
      <c r="D138" s="35"/>
      <c r="E138" s="38"/>
      <c r="F138" s="38"/>
      <c r="G138" s="52" t="str">
        <f t="shared" si="19"/>
        <v/>
      </c>
      <c r="H138" s="53" t="str">
        <f t="shared" si="20"/>
        <v/>
      </c>
      <c r="I138" s="40"/>
      <c r="J138" s="54" t="str">
        <f t="shared" si="21"/>
        <v/>
      </c>
      <c r="K138" s="41" t="str">
        <f t="shared" si="22"/>
        <v/>
      </c>
      <c r="L138" s="55"/>
      <c r="M138" s="56">
        <f t="shared" si="23"/>
        <v>0</v>
      </c>
      <c r="N138" s="56">
        <f t="shared" si="24"/>
        <v>0</v>
      </c>
      <c r="O138" s="57"/>
      <c r="P138" s="40"/>
      <c r="Q138" s="52" t="str">
        <f>IF($D138="","",IF($K138&lt;&gt;"Balance Sheet / Clearing","-",IF(SUMPRODUCT(--(LEFT('7. Settlements'!$J$8:$J$107,7)=$A138),--('7. Settlements'!$M$8:$M$107="Tied out"))+SUMPRODUCT(--(LEFT('8. Transfers'!$H$9:$H$108,7)=$A138),--('8. Transfers'!$J$9:$J$108="Matched"))+SUMPRODUCT(--(LEFT('8. Transfers'!$I$9:$I$108,7)=$A138),--('8. Transfers'!$J$9:$J$108="Matched"))+IF($O138="",0,COUNTIFS('9. Payroll Allocation'!$B$234:$B$253,$O138,'9. Payroll Allocation'!$H$234:$H$253,"Tied out"))&gt;0,"Linked","MISSING DETAIL")))</f>
        <v/>
      </c>
      <c r="T138" s="58" t="str">
        <f t="shared" si="25"/>
        <v/>
      </c>
      <c r="U138" s="59" t="str">
        <f>IF($T138="","",COUNTIF($T$6:$T138,"?*"))</f>
        <v/>
      </c>
      <c r="V138" s="58" t="str">
        <f t="shared" si="26"/>
        <v/>
      </c>
    </row>
    <row r="139" spans="1:22" ht="12.95" customHeight="1" x14ac:dyDescent="0.25">
      <c r="A139" s="60" t="str">
        <f t="shared" si="18"/>
        <v/>
      </c>
      <c r="B139" s="37"/>
      <c r="C139" s="28"/>
      <c r="D139" s="35"/>
      <c r="E139" s="38"/>
      <c r="F139" s="38"/>
      <c r="G139" s="60" t="str">
        <f t="shared" si="19"/>
        <v/>
      </c>
      <c r="H139" s="61" t="str">
        <f t="shared" si="20"/>
        <v/>
      </c>
      <c r="I139" s="40"/>
      <c r="J139" s="62" t="str">
        <f t="shared" si="21"/>
        <v/>
      </c>
      <c r="K139" s="45" t="str">
        <f t="shared" si="22"/>
        <v/>
      </c>
      <c r="L139" s="55"/>
      <c r="M139" s="63">
        <f t="shared" si="23"/>
        <v>0</v>
      </c>
      <c r="N139" s="63">
        <f t="shared" si="24"/>
        <v>0</v>
      </c>
      <c r="O139" s="57"/>
      <c r="P139" s="40"/>
      <c r="Q139" s="60" t="str">
        <f>IF($D139="","",IF($K139&lt;&gt;"Balance Sheet / Clearing","-",IF(SUMPRODUCT(--(LEFT('7. Settlements'!$J$8:$J$107,7)=$A139),--('7. Settlements'!$M$8:$M$107="Tied out"))+SUMPRODUCT(--(LEFT('8. Transfers'!$H$9:$H$108,7)=$A139),--('8. Transfers'!$J$9:$J$108="Matched"))+SUMPRODUCT(--(LEFT('8. Transfers'!$I$9:$I$108,7)=$A139),--('8. Transfers'!$J$9:$J$108="Matched"))+IF($O139="",0,COUNTIFS('9. Payroll Allocation'!$B$234:$B$253,$O139,'9. Payroll Allocation'!$H$234:$H$253,"Tied out"))&gt;0,"Linked","MISSING DETAIL")))</f>
        <v/>
      </c>
      <c r="T139" s="58" t="str">
        <f t="shared" si="25"/>
        <v/>
      </c>
      <c r="U139" s="59" t="str">
        <f>IF($T139="","",COUNTIF($T$6:$T139,"?*"))</f>
        <v/>
      </c>
      <c r="V139" s="58" t="str">
        <f t="shared" si="26"/>
        <v/>
      </c>
    </row>
    <row r="140" spans="1:22" ht="12.95" customHeight="1" x14ac:dyDescent="0.25">
      <c r="A140" s="52" t="str">
        <f t="shared" si="18"/>
        <v/>
      </c>
      <c r="B140" s="37"/>
      <c r="C140" s="28"/>
      <c r="D140" s="35"/>
      <c r="E140" s="38"/>
      <c r="F140" s="38"/>
      <c r="G140" s="52" t="str">
        <f t="shared" si="19"/>
        <v/>
      </c>
      <c r="H140" s="53" t="str">
        <f t="shared" si="20"/>
        <v/>
      </c>
      <c r="I140" s="40"/>
      <c r="J140" s="54" t="str">
        <f t="shared" si="21"/>
        <v/>
      </c>
      <c r="K140" s="41" t="str">
        <f t="shared" si="22"/>
        <v/>
      </c>
      <c r="L140" s="55"/>
      <c r="M140" s="56">
        <f t="shared" si="23"/>
        <v>0</v>
      </c>
      <c r="N140" s="56">
        <f t="shared" si="24"/>
        <v>0</v>
      </c>
      <c r="O140" s="57"/>
      <c r="P140" s="40"/>
      <c r="Q140" s="52" t="str">
        <f>IF($D140="","",IF($K140&lt;&gt;"Balance Sheet / Clearing","-",IF(SUMPRODUCT(--(LEFT('7. Settlements'!$J$8:$J$107,7)=$A140),--('7. Settlements'!$M$8:$M$107="Tied out"))+SUMPRODUCT(--(LEFT('8. Transfers'!$H$9:$H$108,7)=$A140),--('8. Transfers'!$J$9:$J$108="Matched"))+SUMPRODUCT(--(LEFT('8. Transfers'!$I$9:$I$108,7)=$A140),--('8. Transfers'!$J$9:$J$108="Matched"))+IF($O140="",0,COUNTIFS('9. Payroll Allocation'!$B$234:$B$253,$O140,'9. Payroll Allocation'!$H$234:$H$253,"Tied out"))&gt;0,"Linked","MISSING DETAIL")))</f>
        <v/>
      </c>
      <c r="T140" s="58" t="str">
        <f t="shared" si="25"/>
        <v/>
      </c>
      <c r="U140" s="59" t="str">
        <f>IF($T140="","",COUNTIF($T$6:$T140,"?*"))</f>
        <v/>
      </c>
      <c r="V140" s="58" t="str">
        <f t="shared" si="26"/>
        <v/>
      </c>
    </row>
    <row r="141" spans="1:22" ht="12.95" customHeight="1" x14ac:dyDescent="0.25">
      <c r="A141" s="60" t="str">
        <f t="shared" si="18"/>
        <v/>
      </c>
      <c r="B141" s="37"/>
      <c r="C141" s="28"/>
      <c r="D141" s="35"/>
      <c r="E141" s="38"/>
      <c r="F141" s="38"/>
      <c r="G141" s="60" t="str">
        <f t="shared" si="19"/>
        <v/>
      </c>
      <c r="H141" s="61" t="str">
        <f t="shared" si="20"/>
        <v/>
      </c>
      <c r="I141" s="40"/>
      <c r="J141" s="62" t="str">
        <f t="shared" si="21"/>
        <v/>
      </c>
      <c r="K141" s="45" t="str">
        <f t="shared" si="22"/>
        <v/>
      </c>
      <c r="L141" s="55"/>
      <c r="M141" s="63">
        <f t="shared" si="23"/>
        <v>0</v>
      </c>
      <c r="N141" s="63">
        <f t="shared" si="24"/>
        <v>0</v>
      </c>
      <c r="O141" s="57"/>
      <c r="P141" s="40"/>
      <c r="Q141" s="60" t="str">
        <f>IF($D141="","",IF($K141&lt;&gt;"Balance Sheet / Clearing","-",IF(SUMPRODUCT(--(LEFT('7. Settlements'!$J$8:$J$107,7)=$A141),--('7. Settlements'!$M$8:$M$107="Tied out"))+SUMPRODUCT(--(LEFT('8. Transfers'!$H$9:$H$108,7)=$A141),--('8. Transfers'!$J$9:$J$108="Matched"))+SUMPRODUCT(--(LEFT('8. Transfers'!$I$9:$I$108,7)=$A141),--('8. Transfers'!$J$9:$J$108="Matched"))+IF($O141="",0,COUNTIFS('9. Payroll Allocation'!$B$234:$B$253,$O141,'9. Payroll Allocation'!$H$234:$H$253,"Tied out"))&gt;0,"Linked","MISSING DETAIL")))</f>
        <v/>
      </c>
      <c r="T141" s="58" t="str">
        <f t="shared" si="25"/>
        <v/>
      </c>
      <c r="U141" s="59" t="str">
        <f>IF($T141="","",COUNTIF($T$6:$T141,"?*"))</f>
        <v/>
      </c>
      <c r="V141" s="58" t="str">
        <f t="shared" si="26"/>
        <v/>
      </c>
    </row>
    <row r="142" spans="1:22" ht="12.95" customHeight="1" x14ac:dyDescent="0.25">
      <c r="A142" s="52" t="str">
        <f t="shared" si="18"/>
        <v/>
      </c>
      <c r="B142" s="37"/>
      <c r="C142" s="28"/>
      <c r="D142" s="35"/>
      <c r="E142" s="38"/>
      <c r="F142" s="38"/>
      <c r="G142" s="52" t="str">
        <f t="shared" si="19"/>
        <v/>
      </c>
      <c r="H142" s="53" t="str">
        <f t="shared" si="20"/>
        <v/>
      </c>
      <c r="I142" s="40"/>
      <c r="J142" s="54" t="str">
        <f t="shared" si="21"/>
        <v/>
      </c>
      <c r="K142" s="41" t="str">
        <f t="shared" si="22"/>
        <v/>
      </c>
      <c r="L142" s="55"/>
      <c r="M142" s="56">
        <f t="shared" si="23"/>
        <v>0</v>
      </c>
      <c r="N142" s="56">
        <f t="shared" si="24"/>
        <v>0</v>
      </c>
      <c r="O142" s="57"/>
      <c r="P142" s="40"/>
      <c r="Q142" s="52" t="str">
        <f>IF($D142="","",IF($K142&lt;&gt;"Balance Sheet / Clearing","-",IF(SUMPRODUCT(--(LEFT('7. Settlements'!$J$8:$J$107,7)=$A142),--('7. Settlements'!$M$8:$M$107="Tied out"))+SUMPRODUCT(--(LEFT('8. Transfers'!$H$9:$H$108,7)=$A142),--('8. Transfers'!$J$9:$J$108="Matched"))+SUMPRODUCT(--(LEFT('8. Transfers'!$I$9:$I$108,7)=$A142),--('8. Transfers'!$J$9:$J$108="Matched"))+IF($O142="",0,COUNTIFS('9. Payroll Allocation'!$B$234:$B$253,$O142,'9. Payroll Allocation'!$H$234:$H$253,"Tied out"))&gt;0,"Linked","MISSING DETAIL")))</f>
        <v/>
      </c>
      <c r="T142" s="58" t="str">
        <f t="shared" si="25"/>
        <v/>
      </c>
      <c r="U142" s="59" t="str">
        <f>IF($T142="","",COUNTIF($T$6:$T142,"?*"))</f>
        <v/>
      </c>
      <c r="V142" s="58" t="str">
        <f t="shared" si="26"/>
        <v/>
      </c>
    </row>
    <row r="143" spans="1:22" ht="12.95" customHeight="1" x14ac:dyDescent="0.25">
      <c r="A143" s="60" t="str">
        <f t="shared" si="18"/>
        <v/>
      </c>
      <c r="B143" s="37"/>
      <c r="C143" s="28"/>
      <c r="D143" s="35"/>
      <c r="E143" s="38"/>
      <c r="F143" s="38"/>
      <c r="G143" s="60" t="str">
        <f t="shared" si="19"/>
        <v/>
      </c>
      <c r="H143" s="61" t="str">
        <f t="shared" si="20"/>
        <v/>
      </c>
      <c r="I143" s="40"/>
      <c r="J143" s="62" t="str">
        <f t="shared" si="21"/>
        <v/>
      </c>
      <c r="K143" s="45" t="str">
        <f t="shared" si="22"/>
        <v/>
      </c>
      <c r="L143" s="55"/>
      <c r="M143" s="63">
        <f t="shared" si="23"/>
        <v>0</v>
      </c>
      <c r="N143" s="63">
        <f t="shared" si="24"/>
        <v>0</v>
      </c>
      <c r="O143" s="57"/>
      <c r="P143" s="40"/>
      <c r="Q143" s="60" t="str">
        <f>IF($D143="","",IF($K143&lt;&gt;"Balance Sheet / Clearing","-",IF(SUMPRODUCT(--(LEFT('7. Settlements'!$J$8:$J$107,7)=$A143),--('7. Settlements'!$M$8:$M$107="Tied out"))+SUMPRODUCT(--(LEFT('8. Transfers'!$H$9:$H$108,7)=$A143),--('8. Transfers'!$J$9:$J$108="Matched"))+SUMPRODUCT(--(LEFT('8. Transfers'!$I$9:$I$108,7)=$A143),--('8. Transfers'!$J$9:$J$108="Matched"))+IF($O143="",0,COUNTIFS('9. Payroll Allocation'!$B$234:$B$253,$O143,'9. Payroll Allocation'!$H$234:$H$253,"Tied out"))&gt;0,"Linked","MISSING DETAIL")))</f>
        <v/>
      </c>
      <c r="T143" s="58" t="str">
        <f t="shared" si="25"/>
        <v/>
      </c>
      <c r="U143" s="59" t="str">
        <f>IF($T143="","",COUNTIF($T$6:$T143,"?*"))</f>
        <v/>
      </c>
      <c r="V143" s="58" t="str">
        <f t="shared" si="26"/>
        <v/>
      </c>
    </row>
    <row r="144" spans="1:22" ht="12.95" customHeight="1" x14ac:dyDescent="0.25">
      <c r="A144" s="52" t="str">
        <f t="shared" si="18"/>
        <v/>
      </c>
      <c r="B144" s="37"/>
      <c r="C144" s="28"/>
      <c r="D144" s="35"/>
      <c r="E144" s="38"/>
      <c r="F144" s="38"/>
      <c r="G144" s="52" t="str">
        <f t="shared" si="19"/>
        <v/>
      </c>
      <c r="H144" s="53" t="str">
        <f t="shared" si="20"/>
        <v/>
      </c>
      <c r="I144" s="40"/>
      <c r="J144" s="54" t="str">
        <f t="shared" si="21"/>
        <v/>
      </c>
      <c r="K144" s="41" t="str">
        <f t="shared" si="22"/>
        <v/>
      </c>
      <c r="L144" s="55"/>
      <c r="M144" s="56">
        <f t="shared" si="23"/>
        <v>0</v>
      </c>
      <c r="N144" s="56">
        <f t="shared" si="24"/>
        <v>0</v>
      </c>
      <c r="O144" s="57"/>
      <c r="P144" s="40"/>
      <c r="Q144" s="52" t="str">
        <f>IF($D144="","",IF($K144&lt;&gt;"Balance Sheet / Clearing","-",IF(SUMPRODUCT(--(LEFT('7. Settlements'!$J$8:$J$107,7)=$A144),--('7. Settlements'!$M$8:$M$107="Tied out"))+SUMPRODUCT(--(LEFT('8. Transfers'!$H$9:$H$108,7)=$A144),--('8. Transfers'!$J$9:$J$108="Matched"))+SUMPRODUCT(--(LEFT('8. Transfers'!$I$9:$I$108,7)=$A144),--('8. Transfers'!$J$9:$J$108="Matched"))+IF($O144="",0,COUNTIFS('9. Payroll Allocation'!$B$234:$B$253,$O144,'9. Payroll Allocation'!$H$234:$H$253,"Tied out"))&gt;0,"Linked","MISSING DETAIL")))</f>
        <v/>
      </c>
      <c r="T144" s="58" t="str">
        <f t="shared" si="25"/>
        <v/>
      </c>
      <c r="U144" s="59" t="str">
        <f>IF($T144="","",COUNTIF($T$6:$T144,"?*"))</f>
        <v/>
      </c>
      <c r="V144" s="58" t="str">
        <f t="shared" si="26"/>
        <v/>
      </c>
    </row>
    <row r="145" spans="1:22" ht="12.95" customHeight="1" x14ac:dyDescent="0.25">
      <c r="A145" s="60" t="str">
        <f t="shared" si="18"/>
        <v/>
      </c>
      <c r="B145" s="37"/>
      <c r="C145" s="28"/>
      <c r="D145" s="35"/>
      <c r="E145" s="38"/>
      <c r="F145" s="38"/>
      <c r="G145" s="60" t="str">
        <f t="shared" si="19"/>
        <v/>
      </c>
      <c r="H145" s="61" t="str">
        <f t="shared" si="20"/>
        <v/>
      </c>
      <c r="I145" s="40"/>
      <c r="J145" s="62" t="str">
        <f t="shared" si="21"/>
        <v/>
      </c>
      <c r="K145" s="45" t="str">
        <f t="shared" si="22"/>
        <v/>
      </c>
      <c r="L145" s="55"/>
      <c r="M145" s="63">
        <f t="shared" si="23"/>
        <v>0</v>
      </c>
      <c r="N145" s="63">
        <f t="shared" si="24"/>
        <v>0</v>
      </c>
      <c r="O145" s="57"/>
      <c r="P145" s="40"/>
      <c r="Q145" s="60" t="str">
        <f>IF($D145="","",IF($K145&lt;&gt;"Balance Sheet / Clearing","-",IF(SUMPRODUCT(--(LEFT('7. Settlements'!$J$8:$J$107,7)=$A145),--('7. Settlements'!$M$8:$M$107="Tied out"))+SUMPRODUCT(--(LEFT('8. Transfers'!$H$9:$H$108,7)=$A145),--('8. Transfers'!$J$9:$J$108="Matched"))+SUMPRODUCT(--(LEFT('8. Transfers'!$I$9:$I$108,7)=$A145),--('8. Transfers'!$J$9:$J$108="Matched"))+IF($O145="",0,COUNTIFS('9. Payroll Allocation'!$B$234:$B$253,$O145,'9. Payroll Allocation'!$H$234:$H$253,"Tied out"))&gt;0,"Linked","MISSING DETAIL")))</f>
        <v/>
      </c>
      <c r="T145" s="58" t="str">
        <f t="shared" si="25"/>
        <v/>
      </c>
      <c r="U145" s="59" t="str">
        <f>IF($T145="","",COUNTIF($T$6:$T145,"?*"))</f>
        <v/>
      </c>
      <c r="V145" s="58" t="str">
        <f t="shared" si="26"/>
        <v/>
      </c>
    </row>
    <row r="146" spans="1:22" ht="12.95" customHeight="1" x14ac:dyDescent="0.25">
      <c r="A146" s="52" t="str">
        <f t="shared" si="18"/>
        <v/>
      </c>
      <c r="B146" s="37"/>
      <c r="C146" s="28"/>
      <c r="D146" s="35"/>
      <c r="E146" s="38"/>
      <c r="F146" s="38"/>
      <c r="G146" s="52" t="str">
        <f t="shared" si="19"/>
        <v/>
      </c>
      <c r="H146" s="53" t="str">
        <f t="shared" si="20"/>
        <v/>
      </c>
      <c r="I146" s="40"/>
      <c r="J146" s="54" t="str">
        <f t="shared" si="21"/>
        <v/>
      </c>
      <c r="K146" s="41" t="str">
        <f t="shared" si="22"/>
        <v/>
      </c>
      <c r="L146" s="55"/>
      <c r="M146" s="56">
        <f t="shared" si="23"/>
        <v>0</v>
      </c>
      <c r="N146" s="56">
        <f t="shared" si="24"/>
        <v>0</v>
      </c>
      <c r="O146" s="57"/>
      <c r="P146" s="40"/>
      <c r="Q146" s="52" t="str">
        <f>IF($D146="","",IF($K146&lt;&gt;"Balance Sheet / Clearing","-",IF(SUMPRODUCT(--(LEFT('7. Settlements'!$J$8:$J$107,7)=$A146),--('7. Settlements'!$M$8:$M$107="Tied out"))+SUMPRODUCT(--(LEFT('8. Transfers'!$H$9:$H$108,7)=$A146),--('8. Transfers'!$J$9:$J$108="Matched"))+SUMPRODUCT(--(LEFT('8. Transfers'!$I$9:$I$108,7)=$A146),--('8. Transfers'!$J$9:$J$108="Matched"))+IF($O146="",0,COUNTIFS('9. Payroll Allocation'!$B$234:$B$253,$O146,'9. Payroll Allocation'!$H$234:$H$253,"Tied out"))&gt;0,"Linked","MISSING DETAIL")))</f>
        <v/>
      </c>
      <c r="T146" s="58" t="str">
        <f t="shared" si="25"/>
        <v/>
      </c>
      <c r="U146" s="59" t="str">
        <f>IF($T146="","",COUNTIF($T$6:$T146,"?*"))</f>
        <v/>
      </c>
      <c r="V146" s="58" t="str">
        <f t="shared" si="26"/>
        <v/>
      </c>
    </row>
    <row r="147" spans="1:22" ht="12.95" customHeight="1" x14ac:dyDescent="0.25">
      <c r="A147" s="60" t="str">
        <f t="shared" si="18"/>
        <v/>
      </c>
      <c r="B147" s="37"/>
      <c r="C147" s="28"/>
      <c r="D147" s="35"/>
      <c r="E147" s="38"/>
      <c r="F147" s="38"/>
      <c r="G147" s="60" t="str">
        <f t="shared" si="19"/>
        <v/>
      </c>
      <c r="H147" s="61" t="str">
        <f t="shared" si="20"/>
        <v/>
      </c>
      <c r="I147" s="40"/>
      <c r="J147" s="62" t="str">
        <f t="shared" si="21"/>
        <v/>
      </c>
      <c r="K147" s="45" t="str">
        <f t="shared" si="22"/>
        <v/>
      </c>
      <c r="L147" s="55"/>
      <c r="M147" s="63">
        <f t="shared" si="23"/>
        <v>0</v>
      </c>
      <c r="N147" s="63">
        <f t="shared" si="24"/>
        <v>0</v>
      </c>
      <c r="O147" s="57"/>
      <c r="P147" s="40"/>
      <c r="Q147" s="60" t="str">
        <f>IF($D147="","",IF($K147&lt;&gt;"Balance Sheet / Clearing","-",IF(SUMPRODUCT(--(LEFT('7. Settlements'!$J$8:$J$107,7)=$A147),--('7. Settlements'!$M$8:$M$107="Tied out"))+SUMPRODUCT(--(LEFT('8. Transfers'!$H$9:$H$108,7)=$A147),--('8. Transfers'!$J$9:$J$108="Matched"))+SUMPRODUCT(--(LEFT('8. Transfers'!$I$9:$I$108,7)=$A147),--('8. Transfers'!$J$9:$J$108="Matched"))+IF($O147="",0,COUNTIFS('9. Payroll Allocation'!$B$234:$B$253,$O147,'9. Payroll Allocation'!$H$234:$H$253,"Tied out"))&gt;0,"Linked","MISSING DETAIL")))</f>
        <v/>
      </c>
      <c r="T147" s="58" t="str">
        <f t="shared" si="25"/>
        <v/>
      </c>
      <c r="U147" s="59" t="str">
        <f>IF($T147="","",COUNTIF($T$6:$T147,"?*"))</f>
        <v/>
      </c>
      <c r="V147" s="58" t="str">
        <f t="shared" si="26"/>
        <v/>
      </c>
    </row>
    <row r="148" spans="1:22" ht="12.95" customHeight="1" x14ac:dyDescent="0.25">
      <c r="A148" s="52" t="str">
        <f t="shared" si="18"/>
        <v/>
      </c>
      <c r="B148" s="37"/>
      <c r="C148" s="28"/>
      <c r="D148" s="35"/>
      <c r="E148" s="38"/>
      <c r="F148" s="38"/>
      <c r="G148" s="52" t="str">
        <f t="shared" si="19"/>
        <v/>
      </c>
      <c r="H148" s="53" t="str">
        <f t="shared" si="20"/>
        <v/>
      </c>
      <c r="I148" s="40"/>
      <c r="J148" s="54" t="str">
        <f t="shared" si="21"/>
        <v/>
      </c>
      <c r="K148" s="41" t="str">
        <f t="shared" si="22"/>
        <v/>
      </c>
      <c r="L148" s="55"/>
      <c r="M148" s="56">
        <f t="shared" si="23"/>
        <v>0</v>
      </c>
      <c r="N148" s="56">
        <f t="shared" si="24"/>
        <v>0</v>
      </c>
      <c r="O148" s="57"/>
      <c r="P148" s="40"/>
      <c r="Q148" s="52" t="str">
        <f>IF($D148="","",IF($K148&lt;&gt;"Balance Sheet / Clearing","-",IF(SUMPRODUCT(--(LEFT('7. Settlements'!$J$8:$J$107,7)=$A148),--('7. Settlements'!$M$8:$M$107="Tied out"))+SUMPRODUCT(--(LEFT('8. Transfers'!$H$9:$H$108,7)=$A148),--('8. Transfers'!$J$9:$J$108="Matched"))+SUMPRODUCT(--(LEFT('8. Transfers'!$I$9:$I$108,7)=$A148),--('8. Transfers'!$J$9:$J$108="Matched"))+IF($O148="",0,COUNTIFS('9. Payroll Allocation'!$B$234:$B$253,$O148,'9. Payroll Allocation'!$H$234:$H$253,"Tied out"))&gt;0,"Linked","MISSING DETAIL")))</f>
        <v/>
      </c>
      <c r="T148" s="58" t="str">
        <f t="shared" si="25"/>
        <v/>
      </c>
      <c r="U148" s="59" t="str">
        <f>IF($T148="","",COUNTIF($T$6:$T148,"?*"))</f>
        <v/>
      </c>
      <c r="V148" s="58" t="str">
        <f t="shared" si="26"/>
        <v/>
      </c>
    </row>
    <row r="149" spans="1:22" ht="12.95" customHeight="1" x14ac:dyDescent="0.25">
      <c r="A149" s="60" t="str">
        <f t="shared" si="18"/>
        <v/>
      </c>
      <c r="B149" s="37"/>
      <c r="C149" s="28"/>
      <c r="D149" s="35"/>
      <c r="E149" s="38"/>
      <c r="F149" s="38"/>
      <c r="G149" s="60" t="str">
        <f t="shared" si="19"/>
        <v/>
      </c>
      <c r="H149" s="61" t="str">
        <f t="shared" si="20"/>
        <v/>
      </c>
      <c r="I149" s="40"/>
      <c r="J149" s="62" t="str">
        <f t="shared" si="21"/>
        <v/>
      </c>
      <c r="K149" s="45" t="str">
        <f t="shared" si="22"/>
        <v/>
      </c>
      <c r="L149" s="55"/>
      <c r="M149" s="63">
        <f t="shared" si="23"/>
        <v>0</v>
      </c>
      <c r="N149" s="63">
        <f t="shared" si="24"/>
        <v>0</v>
      </c>
      <c r="O149" s="57"/>
      <c r="P149" s="40"/>
      <c r="Q149" s="60" t="str">
        <f>IF($D149="","",IF($K149&lt;&gt;"Balance Sheet / Clearing","-",IF(SUMPRODUCT(--(LEFT('7. Settlements'!$J$8:$J$107,7)=$A149),--('7. Settlements'!$M$8:$M$107="Tied out"))+SUMPRODUCT(--(LEFT('8. Transfers'!$H$9:$H$108,7)=$A149),--('8. Transfers'!$J$9:$J$108="Matched"))+SUMPRODUCT(--(LEFT('8. Transfers'!$I$9:$I$108,7)=$A149),--('8. Transfers'!$J$9:$J$108="Matched"))+IF($O149="",0,COUNTIFS('9. Payroll Allocation'!$B$234:$B$253,$O149,'9. Payroll Allocation'!$H$234:$H$253,"Tied out"))&gt;0,"Linked","MISSING DETAIL")))</f>
        <v/>
      </c>
      <c r="T149" s="58" t="str">
        <f t="shared" si="25"/>
        <v/>
      </c>
      <c r="U149" s="59" t="str">
        <f>IF($T149="","",COUNTIF($T$6:$T149,"?*"))</f>
        <v/>
      </c>
      <c r="V149" s="58" t="str">
        <f t="shared" si="26"/>
        <v/>
      </c>
    </row>
    <row r="150" spans="1:22" ht="12.95" customHeight="1" x14ac:dyDescent="0.25">
      <c r="A150" s="52" t="str">
        <f t="shared" si="18"/>
        <v/>
      </c>
      <c r="B150" s="37"/>
      <c r="C150" s="28"/>
      <c r="D150" s="35"/>
      <c r="E150" s="38"/>
      <c r="F150" s="38"/>
      <c r="G150" s="52" t="str">
        <f t="shared" si="19"/>
        <v/>
      </c>
      <c r="H150" s="53" t="str">
        <f t="shared" si="20"/>
        <v/>
      </c>
      <c r="I150" s="40"/>
      <c r="J150" s="54" t="str">
        <f t="shared" si="21"/>
        <v/>
      </c>
      <c r="K150" s="41" t="str">
        <f t="shared" si="22"/>
        <v/>
      </c>
      <c r="L150" s="55"/>
      <c r="M150" s="56">
        <f t="shared" si="23"/>
        <v>0</v>
      </c>
      <c r="N150" s="56">
        <f t="shared" si="24"/>
        <v>0</v>
      </c>
      <c r="O150" s="57"/>
      <c r="P150" s="40"/>
      <c r="Q150" s="52" t="str">
        <f>IF($D150="","",IF($K150&lt;&gt;"Balance Sheet / Clearing","-",IF(SUMPRODUCT(--(LEFT('7. Settlements'!$J$8:$J$107,7)=$A150),--('7. Settlements'!$M$8:$M$107="Tied out"))+SUMPRODUCT(--(LEFT('8. Transfers'!$H$9:$H$108,7)=$A150),--('8. Transfers'!$J$9:$J$108="Matched"))+SUMPRODUCT(--(LEFT('8. Transfers'!$I$9:$I$108,7)=$A150),--('8. Transfers'!$J$9:$J$108="Matched"))+IF($O150="",0,COUNTIFS('9. Payroll Allocation'!$B$234:$B$253,$O150,'9. Payroll Allocation'!$H$234:$H$253,"Tied out"))&gt;0,"Linked","MISSING DETAIL")))</f>
        <v/>
      </c>
      <c r="T150" s="58" t="str">
        <f t="shared" si="25"/>
        <v/>
      </c>
      <c r="U150" s="59" t="str">
        <f>IF($T150="","",COUNTIF($T$6:$T150,"?*"))</f>
        <v/>
      </c>
      <c r="V150" s="58" t="str">
        <f t="shared" si="26"/>
        <v/>
      </c>
    </row>
    <row r="151" spans="1:22" ht="12.95" customHeight="1" x14ac:dyDescent="0.25">
      <c r="A151" s="60" t="str">
        <f t="shared" si="18"/>
        <v/>
      </c>
      <c r="B151" s="37"/>
      <c r="C151" s="28"/>
      <c r="D151" s="35"/>
      <c r="E151" s="38"/>
      <c r="F151" s="38"/>
      <c r="G151" s="60" t="str">
        <f t="shared" si="19"/>
        <v/>
      </c>
      <c r="H151" s="61" t="str">
        <f t="shared" si="20"/>
        <v/>
      </c>
      <c r="I151" s="40"/>
      <c r="J151" s="62" t="str">
        <f t="shared" si="21"/>
        <v/>
      </c>
      <c r="K151" s="45" t="str">
        <f t="shared" si="22"/>
        <v/>
      </c>
      <c r="L151" s="55"/>
      <c r="M151" s="63">
        <f t="shared" si="23"/>
        <v>0</v>
      </c>
      <c r="N151" s="63">
        <f t="shared" si="24"/>
        <v>0</v>
      </c>
      <c r="O151" s="57"/>
      <c r="P151" s="40"/>
      <c r="Q151" s="60" t="str">
        <f>IF($D151="","",IF($K151&lt;&gt;"Balance Sheet / Clearing","-",IF(SUMPRODUCT(--(LEFT('7. Settlements'!$J$8:$J$107,7)=$A151),--('7. Settlements'!$M$8:$M$107="Tied out"))+SUMPRODUCT(--(LEFT('8. Transfers'!$H$9:$H$108,7)=$A151),--('8. Transfers'!$J$9:$J$108="Matched"))+SUMPRODUCT(--(LEFT('8. Transfers'!$I$9:$I$108,7)=$A151),--('8. Transfers'!$J$9:$J$108="Matched"))+IF($O151="",0,COUNTIFS('9. Payroll Allocation'!$B$234:$B$253,$O151,'9. Payroll Allocation'!$H$234:$H$253,"Tied out"))&gt;0,"Linked","MISSING DETAIL")))</f>
        <v/>
      </c>
      <c r="T151" s="58" t="str">
        <f t="shared" si="25"/>
        <v/>
      </c>
      <c r="U151" s="59" t="str">
        <f>IF($T151="","",COUNTIF($T$6:$T151,"?*"))</f>
        <v/>
      </c>
      <c r="V151" s="58" t="str">
        <f t="shared" si="26"/>
        <v/>
      </c>
    </row>
    <row r="152" spans="1:22" ht="12.95" customHeight="1" x14ac:dyDescent="0.25">
      <c r="A152" s="52" t="str">
        <f t="shared" si="18"/>
        <v/>
      </c>
      <c r="B152" s="37"/>
      <c r="C152" s="28"/>
      <c r="D152" s="35"/>
      <c r="E152" s="38"/>
      <c r="F152" s="38"/>
      <c r="G152" s="52" t="str">
        <f t="shared" si="19"/>
        <v/>
      </c>
      <c r="H152" s="53" t="str">
        <f t="shared" si="20"/>
        <v/>
      </c>
      <c r="I152" s="40"/>
      <c r="J152" s="54" t="str">
        <f t="shared" si="21"/>
        <v/>
      </c>
      <c r="K152" s="41" t="str">
        <f t="shared" si="22"/>
        <v/>
      </c>
      <c r="L152" s="55"/>
      <c r="M152" s="56">
        <f t="shared" si="23"/>
        <v>0</v>
      </c>
      <c r="N152" s="56">
        <f t="shared" si="24"/>
        <v>0</v>
      </c>
      <c r="O152" s="57"/>
      <c r="P152" s="40"/>
      <c r="Q152" s="52" t="str">
        <f>IF($D152="","",IF($K152&lt;&gt;"Balance Sheet / Clearing","-",IF(SUMPRODUCT(--(LEFT('7. Settlements'!$J$8:$J$107,7)=$A152),--('7. Settlements'!$M$8:$M$107="Tied out"))+SUMPRODUCT(--(LEFT('8. Transfers'!$H$9:$H$108,7)=$A152),--('8. Transfers'!$J$9:$J$108="Matched"))+SUMPRODUCT(--(LEFT('8. Transfers'!$I$9:$I$108,7)=$A152),--('8. Transfers'!$J$9:$J$108="Matched"))+IF($O152="",0,COUNTIFS('9. Payroll Allocation'!$B$234:$B$253,$O152,'9. Payroll Allocation'!$H$234:$H$253,"Tied out"))&gt;0,"Linked","MISSING DETAIL")))</f>
        <v/>
      </c>
      <c r="T152" s="58" t="str">
        <f t="shared" si="25"/>
        <v/>
      </c>
      <c r="U152" s="59" t="str">
        <f>IF($T152="","",COUNTIF($T$6:$T152,"?*"))</f>
        <v/>
      </c>
      <c r="V152" s="58" t="str">
        <f t="shared" si="26"/>
        <v/>
      </c>
    </row>
    <row r="153" spans="1:22" ht="12.95" customHeight="1" x14ac:dyDescent="0.25">
      <c r="A153" s="60" t="str">
        <f t="shared" si="18"/>
        <v/>
      </c>
      <c r="B153" s="37"/>
      <c r="C153" s="28"/>
      <c r="D153" s="35"/>
      <c r="E153" s="38"/>
      <c r="F153" s="38"/>
      <c r="G153" s="60" t="str">
        <f t="shared" si="19"/>
        <v/>
      </c>
      <c r="H153" s="61" t="str">
        <f t="shared" si="20"/>
        <v/>
      </c>
      <c r="I153" s="40"/>
      <c r="J153" s="62" t="str">
        <f t="shared" si="21"/>
        <v/>
      </c>
      <c r="K153" s="45" t="str">
        <f t="shared" si="22"/>
        <v/>
      </c>
      <c r="L153" s="55"/>
      <c r="M153" s="63">
        <f t="shared" si="23"/>
        <v>0</v>
      </c>
      <c r="N153" s="63">
        <f t="shared" si="24"/>
        <v>0</v>
      </c>
      <c r="O153" s="57"/>
      <c r="P153" s="40"/>
      <c r="Q153" s="60" t="str">
        <f>IF($D153="","",IF($K153&lt;&gt;"Balance Sheet / Clearing","-",IF(SUMPRODUCT(--(LEFT('7. Settlements'!$J$8:$J$107,7)=$A153),--('7. Settlements'!$M$8:$M$107="Tied out"))+SUMPRODUCT(--(LEFT('8. Transfers'!$H$9:$H$108,7)=$A153),--('8. Transfers'!$J$9:$J$108="Matched"))+SUMPRODUCT(--(LEFT('8. Transfers'!$I$9:$I$108,7)=$A153),--('8. Transfers'!$J$9:$J$108="Matched"))+IF($O153="",0,COUNTIFS('9. Payroll Allocation'!$B$234:$B$253,$O153,'9. Payroll Allocation'!$H$234:$H$253,"Tied out"))&gt;0,"Linked","MISSING DETAIL")))</f>
        <v/>
      </c>
      <c r="T153" s="58" t="str">
        <f t="shared" si="25"/>
        <v/>
      </c>
      <c r="U153" s="59" t="str">
        <f>IF($T153="","",COUNTIF($T$6:$T153,"?*"))</f>
        <v/>
      </c>
      <c r="V153" s="58" t="str">
        <f t="shared" si="26"/>
        <v/>
      </c>
    </row>
    <row r="154" spans="1:22" ht="12.95" customHeight="1" x14ac:dyDescent="0.25">
      <c r="A154" s="52" t="str">
        <f t="shared" si="18"/>
        <v/>
      </c>
      <c r="B154" s="37"/>
      <c r="C154" s="28"/>
      <c r="D154" s="35"/>
      <c r="E154" s="38"/>
      <c r="F154" s="38"/>
      <c r="G154" s="52" t="str">
        <f t="shared" si="19"/>
        <v/>
      </c>
      <c r="H154" s="53" t="str">
        <f t="shared" si="20"/>
        <v/>
      </c>
      <c r="I154" s="40"/>
      <c r="J154" s="54" t="str">
        <f t="shared" si="21"/>
        <v/>
      </c>
      <c r="K154" s="41" t="str">
        <f t="shared" si="22"/>
        <v/>
      </c>
      <c r="L154" s="55"/>
      <c r="M154" s="56">
        <f t="shared" si="23"/>
        <v>0</v>
      </c>
      <c r="N154" s="56">
        <f t="shared" si="24"/>
        <v>0</v>
      </c>
      <c r="O154" s="57"/>
      <c r="P154" s="40"/>
      <c r="Q154" s="52" t="str">
        <f>IF($D154="","",IF($K154&lt;&gt;"Balance Sheet / Clearing","-",IF(SUMPRODUCT(--(LEFT('7. Settlements'!$J$8:$J$107,7)=$A154),--('7. Settlements'!$M$8:$M$107="Tied out"))+SUMPRODUCT(--(LEFT('8. Transfers'!$H$9:$H$108,7)=$A154),--('8. Transfers'!$J$9:$J$108="Matched"))+SUMPRODUCT(--(LEFT('8. Transfers'!$I$9:$I$108,7)=$A154),--('8. Transfers'!$J$9:$J$108="Matched"))+IF($O154="",0,COUNTIFS('9. Payroll Allocation'!$B$234:$B$253,$O154,'9. Payroll Allocation'!$H$234:$H$253,"Tied out"))&gt;0,"Linked","MISSING DETAIL")))</f>
        <v/>
      </c>
      <c r="T154" s="58" t="str">
        <f t="shared" si="25"/>
        <v/>
      </c>
      <c r="U154" s="59" t="str">
        <f>IF($T154="","",COUNTIF($T$6:$T154,"?*"))</f>
        <v/>
      </c>
      <c r="V154" s="58" t="str">
        <f t="shared" si="26"/>
        <v/>
      </c>
    </row>
    <row r="155" spans="1:22" ht="12.95" customHeight="1" x14ac:dyDescent="0.25">
      <c r="A155" s="60" t="str">
        <f t="shared" si="18"/>
        <v/>
      </c>
      <c r="B155" s="37"/>
      <c r="C155" s="28"/>
      <c r="D155" s="35"/>
      <c r="E155" s="38"/>
      <c r="F155" s="38"/>
      <c r="G155" s="60" t="str">
        <f t="shared" si="19"/>
        <v/>
      </c>
      <c r="H155" s="61" t="str">
        <f t="shared" si="20"/>
        <v/>
      </c>
      <c r="I155" s="40"/>
      <c r="J155" s="62" t="str">
        <f t="shared" si="21"/>
        <v/>
      </c>
      <c r="K155" s="45" t="str">
        <f t="shared" si="22"/>
        <v/>
      </c>
      <c r="L155" s="55"/>
      <c r="M155" s="63">
        <f t="shared" si="23"/>
        <v>0</v>
      </c>
      <c r="N155" s="63">
        <f t="shared" si="24"/>
        <v>0</v>
      </c>
      <c r="O155" s="57"/>
      <c r="P155" s="40"/>
      <c r="Q155" s="60" t="str">
        <f>IF($D155="","",IF($K155&lt;&gt;"Balance Sheet / Clearing","-",IF(SUMPRODUCT(--(LEFT('7. Settlements'!$J$8:$J$107,7)=$A155),--('7. Settlements'!$M$8:$M$107="Tied out"))+SUMPRODUCT(--(LEFT('8. Transfers'!$H$9:$H$108,7)=$A155),--('8. Transfers'!$J$9:$J$108="Matched"))+SUMPRODUCT(--(LEFT('8. Transfers'!$I$9:$I$108,7)=$A155),--('8. Transfers'!$J$9:$J$108="Matched"))+IF($O155="",0,COUNTIFS('9. Payroll Allocation'!$B$234:$B$253,$O155,'9. Payroll Allocation'!$H$234:$H$253,"Tied out"))&gt;0,"Linked","MISSING DETAIL")))</f>
        <v/>
      </c>
      <c r="T155" s="58" t="str">
        <f t="shared" si="25"/>
        <v/>
      </c>
      <c r="U155" s="59" t="str">
        <f>IF($T155="","",COUNTIF($T$6:$T155,"?*"))</f>
        <v/>
      </c>
      <c r="V155" s="58" t="str">
        <f t="shared" si="26"/>
        <v/>
      </c>
    </row>
    <row r="156" spans="1:22" ht="12.95" customHeight="1" x14ac:dyDescent="0.25">
      <c r="A156" s="52" t="str">
        <f t="shared" si="18"/>
        <v/>
      </c>
      <c r="B156" s="37"/>
      <c r="C156" s="28"/>
      <c r="D156" s="35"/>
      <c r="E156" s="38"/>
      <c r="F156" s="38"/>
      <c r="G156" s="52" t="str">
        <f t="shared" si="19"/>
        <v/>
      </c>
      <c r="H156" s="53" t="str">
        <f t="shared" si="20"/>
        <v/>
      </c>
      <c r="I156" s="40"/>
      <c r="J156" s="54" t="str">
        <f t="shared" si="21"/>
        <v/>
      </c>
      <c r="K156" s="41" t="str">
        <f t="shared" si="22"/>
        <v/>
      </c>
      <c r="L156" s="55"/>
      <c r="M156" s="56">
        <f t="shared" si="23"/>
        <v>0</v>
      </c>
      <c r="N156" s="56">
        <f t="shared" si="24"/>
        <v>0</v>
      </c>
      <c r="O156" s="57"/>
      <c r="P156" s="40"/>
      <c r="Q156" s="52" t="str">
        <f>IF($D156="","",IF($K156&lt;&gt;"Balance Sheet / Clearing","-",IF(SUMPRODUCT(--(LEFT('7. Settlements'!$J$8:$J$107,7)=$A156),--('7. Settlements'!$M$8:$M$107="Tied out"))+SUMPRODUCT(--(LEFT('8. Transfers'!$H$9:$H$108,7)=$A156),--('8. Transfers'!$J$9:$J$108="Matched"))+SUMPRODUCT(--(LEFT('8. Transfers'!$I$9:$I$108,7)=$A156),--('8. Transfers'!$J$9:$J$108="Matched"))+IF($O156="",0,COUNTIFS('9. Payroll Allocation'!$B$234:$B$253,$O156,'9. Payroll Allocation'!$H$234:$H$253,"Tied out"))&gt;0,"Linked","MISSING DETAIL")))</f>
        <v/>
      </c>
      <c r="T156" s="58" t="str">
        <f t="shared" si="25"/>
        <v/>
      </c>
      <c r="U156" s="59" t="str">
        <f>IF($T156="","",COUNTIF($T$6:$T156,"?*"))</f>
        <v/>
      </c>
      <c r="V156" s="58" t="str">
        <f t="shared" si="26"/>
        <v/>
      </c>
    </row>
    <row r="157" spans="1:22" ht="12.95" customHeight="1" x14ac:dyDescent="0.25">
      <c r="A157" s="60" t="str">
        <f t="shared" si="18"/>
        <v/>
      </c>
      <c r="B157" s="37"/>
      <c r="C157" s="28"/>
      <c r="D157" s="35"/>
      <c r="E157" s="38"/>
      <c r="F157" s="38"/>
      <c r="G157" s="60" t="str">
        <f t="shared" si="19"/>
        <v/>
      </c>
      <c r="H157" s="61" t="str">
        <f t="shared" si="20"/>
        <v/>
      </c>
      <c r="I157" s="40"/>
      <c r="J157" s="62" t="str">
        <f t="shared" si="21"/>
        <v/>
      </c>
      <c r="K157" s="45" t="str">
        <f t="shared" si="22"/>
        <v/>
      </c>
      <c r="L157" s="55"/>
      <c r="M157" s="63">
        <f t="shared" si="23"/>
        <v>0</v>
      </c>
      <c r="N157" s="63">
        <f t="shared" si="24"/>
        <v>0</v>
      </c>
      <c r="O157" s="57"/>
      <c r="P157" s="40"/>
      <c r="Q157" s="60" t="str">
        <f>IF($D157="","",IF($K157&lt;&gt;"Balance Sheet / Clearing","-",IF(SUMPRODUCT(--(LEFT('7. Settlements'!$J$8:$J$107,7)=$A157),--('7. Settlements'!$M$8:$M$107="Tied out"))+SUMPRODUCT(--(LEFT('8. Transfers'!$H$9:$H$108,7)=$A157),--('8. Transfers'!$J$9:$J$108="Matched"))+SUMPRODUCT(--(LEFT('8. Transfers'!$I$9:$I$108,7)=$A157),--('8. Transfers'!$J$9:$J$108="Matched"))+IF($O157="",0,COUNTIFS('9. Payroll Allocation'!$B$234:$B$253,$O157,'9. Payroll Allocation'!$H$234:$H$253,"Tied out"))&gt;0,"Linked","MISSING DETAIL")))</f>
        <v/>
      </c>
      <c r="T157" s="58" t="str">
        <f t="shared" si="25"/>
        <v/>
      </c>
      <c r="U157" s="59" t="str">
        <f>IF($T157="","",COUNTIF($T$6:$T157,"?*"))</f>
        <v/>
      </c>
      <c r="V157" s="58" t="str">
        <f t="shared" si="26"/>
        <v/>
      </c>
    </row>
    <row r="158" spans="1:22" ht="12.95" customHeight="1" x14ac:dyDescent="0.25">
      <c r="A158" s="52" t="str">
        <f t="shared" si="18"/>
        <v/>
      </c>
      <c r="B158" s="37"/>
      <c r="C158" s="28"/>
      <c r="D158" s="35"/>
      <c r="E158" s="38"/>
      <c r="F158" s="38"/>
      <c r="G158" s="52" t="str">
        <f t="shared" si="19"/>
        <v/>
      </c>
      <c r="H158" s="53" t="str">
        <f t="shared" si="20"/>
        <v/>
      </c>
      <c r="I158" s="40"/>
      <c r="J158" s="54" t="str">
        <f t="shared" si="21"/>
        <v/>
      </c>
      <c r="K158" s="41" t="str">
        <f t="shared" si="22"/>
        <v/>
      </c>
      <c r="L158" s="55"/>
      <c r="M158" s="56">
        <f t="shared" si="23"/>
        <v>0</v>
      </c>
      <c r="N158" s="56">
        <f t="shared" si="24"/>
        <v>0</v>
      </c>
      <c r="O158" s="57"/>
      <c r="P158" s="40"/>
      <c r="Q158" s="52" t="str">
        <f>IF($D158="","",IF($K158&lt;&gt;"Balance Sheet / Clearing","-",IF(SUMPRODUCT(--(LEFT('7. Settlements'!$J$8:$J$107,7)=$A158),--('7. Settlements'!$M$8:$M$107="Tied out"))+SUMPRODUCT(--(LEFT('8. Transfers'!$H$9:$H$108,7)=$A158),--('8. Transfers'!$J$9:$J$108="Matched"))+SUMPRODUCT(--(LEFT('8. Transfers'!$I$9:$I$108,7)=$A158),--('8. Transfers'!$J$9:$J$108="Matched"))+IF($O158="",0,COUNTIFS('9. Payroll Allocation'!$B$234:$B$253,$O158,'9. Payroll Allocation'!$H$234:$H$253,"Tied out"))&gt;0,"Linked","MISSING DETAIL")))</f>
        <v/>
      </c>
      <c r="T158" s="58" t="str">
        <f t="shared" si="25"/>
        <v/>
      </c>
      <c r="U158" s="59" t="str">
        <f>IF($T158="","",COUNTIF($T$6:$T158,"?*"))</f>
        <v/>
      </c>
      <c r="V158" s="58" t="str">
        <f t="shared" si="26"/>
        <v/>
      </c>
    </row>
    <row r="159" spans="1:22" ht="12.95" customHeight="1" x14ac:dyDescent="0.25">
      <c r="A159" s="60" t="str">
        <f t="shared" si="18"/>
        <v/>
      </c>
      <c r="B159" s="37"/>
      <c r="C159" s="28"/>
      <c r="D159" s="35"/>
      <c r="E159" s="38"/>
      <c r="F159" s="38"/>
      <c r="G159" s="60" t="str">
        <f t="shared" si="19"/>
        <v/>
      </c>
      <c r="H159" s="61" t="str">
        <f t="shared" si="20"/>
        <v/>
      </c>
      <c r="I159" s="40"/>
      <c r="J159" s="62" t="str">
        <f t="shared" si="21"/>
        <v/>
      </c>
      <c r="K159" s="45" t="str">
        <f t="shared" si="22"/>
        <v/>
      </c>
      <c r="L159" s="55"/>
      <c r="M159" s="63">
        <f t="shared" si="23"/>
        <v>0</v>
      </c>
      <c r="N159" s="63">
        <f t="shared" si="24"/>
        <v>0</v>
      </c>
      <c r="O159" s="57"/>
      <c r="P159" s="40"/>
      <c r="Q159" s="60" t="str">
        <f>IF($D159="","",IF($K159&lt;&gt;"Balance Sheet / Clearing","-",IF(SUMPRODUCT(--(LEFT('7. Settlements'!$J$8:$J$107,7)=$A159),--('7. Settlements'!$M$8:$M$107="Tied out"))+SUMPRODUCT(--(LEFT('8. Transfers'!$H$9:$H$108,7)=$A159),--('8. Transfers'!$J$9:$J$108="Matched"))+SUMPRODUCT(--(LEFT('8. Transfers'!$I$9:$I$108,7)=$A159),--('8. Transfers'!$J$9:$J$108="Matched"))+IF($O159="",0,COUNTIFS('9. Payroll Allocation'!$B$234:$B$253,$O159,'9. Payroll Allocation'!$H$234:$H$253,"Tied out"))&gt;0,"Linked","MISSING DETAIL")))</f>
        <v/>
      </c>
      <c r="T159" s="58" t="str">
        <f t="shared" si="25"/>
        <v/>
      </c>
      <c r="U159" s="59" t="str">
        <f>IF($T159="","",COUNTIF($T$6:$T159,"?*"))</f>
        <v/>
      </c>
      <c r="V159" s="58" t="str">
        <f t="shared" si="26"/>
        <v/>
      </c>
    </row>
    <row r="160" spans="1:22" ht="12.95" customHeight="1" x14ac:dyDescent="0.25">
      <c r="A160" s="52" t="str">
        <f t="shared" si="18"/>
        <v/>
      </c>
      <c r="B160" s="37"/>
      <c r="C160" s="28"/>
      <c r="D160" s="35"/>
      <c r="E160" s="38"/>
      <c r="F160" s="38"/>
      <c r="G160" s="52" t="str">
        <f t="shared" si="19"/>
        <v/>
      </c>
      <c r="H160" s="53" t="str">
        <f t="shared" si="20"/>
        <v/>
      </c>
      <c r="I160" s="40"/>
      <c r="J160" s="54" t="str">
        <f t="shared" si="21"/>
        <v/>
      </c>
      <c r="K160" s="41" t="str">
        <f t="shared" si="22"/>
        <v/>
      </c>
      <c r="L160" s="55"/>
      <c r="M160" s="56">
        <f t="shared" si="23"/>
        <v>0</v>
      </c>
      <c r="N160" s="56">
        <f t="shared" si="24"/>
        <v>0</v>
      </c>
      <c r="O160" s="57"/>
      <c r="P160" s="40"/>
      <c r="Q160" s="52" t="str">
        <f>IF($D160="","",IF($K160&lt;&gt;"Balance Sheet / Clearing","-",IF(SUMPRODUCT(--(LEFT('7. Settlements'!$J$8:$J$107,7)=$A160),--('7. Settlements'!$M$8:$M$107="Tied out"))+SUMPRODUCT(--(LEFT('8. Transfers'!$H$9:$H$108,7)=$A160),--('8. Transfers'!$J$9:$J$108="Matched"))+SUMPRODUCT(--(LEFT('8. Transfers'!$I$9:$I$108,7)=$A160),--('8. Transfers'!$J$9:$J$108="Matched"))+IF($O160="",0,COUNTIFS('9. Payroll Allocation'!$B$234:$B$253,$O160,'9. Payroll Allocation'!$H$234:$H$253,"Tied out"))&gt;0,"Linked","MISSING DETAIL")))</f>
        <v/>
      </c>
      <c r="T160" s="58" t="str">
        <f t="shared" si="25"/>
        <v/>
      </c>
      <c r="U160" s="59" t="str">
        <f>IF($T160="","",COUNTIF($T$6:$T160,"?*"))</f>
        <v/>
      </c>
      <c r="V160" s="58" t="str">
        <f t="shared" si="26"/>
        <v/>
      </c>
    </row>
    <row r="161" spans="1:22" ht="12.95" customHeight="1" x14ac:dyDescent="0.25">
      <c r="A161" s="60" t="str">
        <f t="shared" si="18"/>
        <v/>
      </c>
      <c r="B161" s="37"/>
      <c r="C161" s="28"/>
      <c r="D161" s="35"/>
      <c r="E161" s="38"/>
      <c r="F161" s="38"/>
      <c r="G161" s="60" t="str">
        <f t="shared" si="19"/>
        <v/>
      </c>
      <c r="H161" s="61" t="str">
        <f t="shared" si="20"/>
        <v/>
      </c>
      <c r="I161" s="40"/>
      <c r="J161" s="62" t="str">
        <f t="shared" si="21"/>
        <v/>
      </c>
      <c r="K161" s="45" t="str">
        <f t="shared" si="22"/>
        <v/>
      </c>
      <c r="L161" s="55"/>
      <c r="M161" s="63">
        <f t="shared" si="23"/>
        <v>0</v>
      </c>
      <c r="N161" s="63">
        <f t="shared" si="24"/>
        <v>0</v>
      </c>
      <c r="O161" s="57"/>
      <c r="P161" s="40"/>
      <c r="Q161" s="60" t="str">
        <f>IF($D161="","",IF($K161&lt;&gt;"Balance Sheet / Clearing","-",IF(SUMPRODUCT(--(LEFT('7. Settlements'!$J$8:$J$107,7)=$A161),--('7. Settlements'!$M$8:$M$107="Tied out"))+SUMPRODUCT(--(LEFT('8. Transfers'!$H$9:$H$108,7)=$A161),--('8. Transfers'!$J$9:$J$108="Matched"))+SUMPRODUCT(--(LEFT('8. Transfers'!$I$9:$I$108,7)=$A161),--('8. Transfers'!$J$9:$J$108="Matched"))+IF($O161="",0,COUNTIFS('9. Payroll Allocation'!$B$234:$B$253,$O161,'9. Payroll Allocation'!$H$234:$H$253,"Tied out"))&gt;0,"Linked","MISSING DETAIL")))</f>
        <v/>
      </c>
      <c r="T161" s="58" t="str">
        <f t="shared" si="25"/>
        <v/>
      </c>
      <c r="U161" s="59" t="str">
        <f>IF($T161="","",COUNTIF($T$6:$T161,"?*"))</f>
        <v/>
      </c>
      <c r="V161" s="58" t="str">
        <f t="shared" si="26"/>
        <v/>
      </c>
    </row>
    <row r="162" spans="1:22" ht="12.95" customHeight="1" x14ac:dyDescent="0.25">
      <c r="A162" s="52" t="str">
        <f t="shared" si="18"/>
        <v/>
      </c>
      <c r="B162" s="37"/>
      <c r="C162" s="28"/>
      <c r="D162" s="35"/>
      <c r="E162" s="38"/>
      <c r="F162" s="38"/>
      <c r="G162" s="52" t="str">
        <f t="shared" si="19"/>
        <v/>
      </c>
      <c r="H162" s="53" t="str">
        <f t="shared" si="20"/>
        <v/>
      </c>
      <c r="I162" s="40"/>
      <c r="J162" s="54" t="str">
        <f t="shared" si="21"/>
        <v/>
      </c>
      <c r="K162" s="41" t="str">
        <f t="shared" si="22"/>
        <v/>
      </c>
      <c r="L162" s="55"/>
      <c r="M162" s="56">
        <f t="shared" si="23"/>
        <v>0</v>
      </c>
      <c r="N162" s="56">
        <f t="shared" si="24"/>
        <v>0</v>
      </c>
      <c r="O162" s="57"/>
      <c r="P162" s="40"/>
      <c r="Q162" s="52" t="str">
        <f>IF($D162="","",IF($K162&lt;&gt;"Balance Sheet / Clearing","-",IF(SUMPRODUCT(--(LEFT('7. Settlements'!$J$8:$J$107,7)=$A162),--('7. Settlements'!$M$8:$M$107="Tied out"))+SUMPRODUCT(--(LEFT('8. Transfers'!$H$9:$H$108,7)=$A162),--('8. Transfers'!$J$9:$J$108="Matched"))+SUMPRODUCT(--(LEFT('8. Transfers'!$I$9:$I$108,7)=$A162),--('8. Transfers'!$J$9:$J$108="Matched"))+IF($O162="",0,COUNTIFS('9. Payroll Allocation'!$B$234:$B$253,$O162,'9. Payroll Allocation'!$H$234:$H$253,"Tied out"))&gt;0,"Linked","MISSING DETAIL")))</f>
        <v/>
      </c>
      <c r="T162" s="58" t="str">
        <f t="shared" si="25"/>
        <v/>
      </c>
      <c r="U162" s="59" t="str">
        <f>IF($T162="","",COUNTIF($T$6:$T162,"?*"))</f>
        <v/>
      </c>
      <c r="V162" s="58" t="str">
        <f t="shared" si="26"/>
        <v/>
      </c>
    </row>
    <row r="163" spans="1:22" ht="12.95" customHeight="1" x14ac:dyDescent="0.25">
      <c r="A163" s="60" t="str">
        <f t="shared" si="18"/>
        <v/>
      </c>
      <c r="B163" s="37"/>
      <c r="C163" s="28"/>
      <c r="D163" s="35"/>
      <c r="E163" s="38"/>
      <c r="F163" s="38"/>
      <c r="G163" s="60" t="str">
        <f t="shared" si="19"/>
        <v/>
      </c>
      <c r="H163" s="61" t="str">
        <f t="shared" si="20"/>
        <v/>
      </c>
      <c r="I163" s="40"/>
      <c r="J163" s="62" t="str">
        <f t="shared" si="21"/>
        <v/>
      </c>
      <c r="K163" s="45" t="str">
        <f t="shared" si="22"/>
        <v/>
      </c>
      <c r="L163" s="55"/>
      <c r="M163" s="63">
        <f t="shared" si="23"/>
        <v>0</v>
      </c>
      <c r="N163" s="63">
        <f t="shared" si="24"/>
        <v>0</v>
      </c>
      <c r="O163" s="57"/>
      <c r="P163" s="40"/>
      <c r="Q163" s="60" t="str">
        <f>IF($D163="","",IF($K163&lt;&gt;"Balance Sheet / Clearing","-",IF(SUMPRODUCT(--(LEFT('7. Settlements'!$J$8:$J$107,7)=$A163),--('7. Settlements'!$M$8:$M$107="Tied out"))+SUMPRODUCT(--(LEFT('8. Transfers'!$H$9:$H$108,7)=$A163),--('8. Transfers'!$J$9:$J$108="Matched"))+SUMPRODUCT(--(LEFT('8. Transfers'!$I$9:$I$108,7)=$A163),--('8. Transfers'!$J$9:$J$108="Matched"))+IF($O163="",0,COUNTIFS('9. Payroll Allocation'!$B$234:$B$253,$O163,'9. Payroll Allocation'!$H$234:$H$253,"Tied out"))&gt;0,"Linked","MISSING DETAIL")))</f>
        <v/>
      </c>
      <c r="T163" s="58" t="str">
        <f t="shared" si="25"/>
        <v/>
      </c>
      <c r="U163" s="59" t="str">
        <f>IF($T163="","",COUNTIF($T$6:$T163,"?*"))</f>
        <v/>
      </c>
      <c r="V163" s="58" t="str">
        <f t="shared" si="26"/>
        <v/>
      </c>
    </row>
    <row r="164" spans="1:22" ht="12.95" customHeight="1" x14ac:dyDescent="0.25">
      <c r="A164" s="52" t="str">
        <f t="shared" si="18"/>
        <v/>
      </c>
      <c r="B164" s="37"/>
      <c r="C164" s="28"/>
      <c r="D164" s="35"/>
      <c r="E164" s="38"/>
      <c r="F164" s="38"/>
      <c r="G164" s="52" t="str">
        <f t="shared" si="19"/>
        <v/>
      </c>
      <c r="H164" s="53" t="str">
        <f t="shared" si="20"/>
        <v/>
      </c>
      <c r="I164" s="40"/>
      <c r="J164" s="54" t="str">
        <f t="shared" si="21"/>
        <v/>
      </c>
      <c r="K164" s="41" t="str">
        <f t="shared" si="22"/>
        <v/>
      </c>
      <c r="L164" s="55"/>
      <c r="M164" s="56">
        <f t="shared" si="23"/>
        <v>0</v>
      </c>
      <c r="N164" s="56">
        <f t="shared" si="24"/>
        <v>0</v>
      </c>
      <c r="O164" s="57"/>
      <c r="P164" s="40"/>
      <c r="Q164" s="52" t="str">
        <f>IF($D164="","",IF($K164&lt;&gt;"Balance Sheet / Clearing","-",IF(SUMPRODUCT(--(LEFT('7. Settlements'!$J$8:$J$107,7)=$A164),--('7. Settlements'!$M$8:$M$107="Tied out"))+SUMPRODUCT(--(LEFT('8. Transfers'!$H$9:$H$108,7)=$A164),--('8. Transfers'!$J$9:$J$108="Matched"))+SUMPRODUCT(--(LEFT('8. Transfers'!$I$9:$I$108,7)=$A164),--('8. Transfers'!$J$9:$J$108="Matched"))+IF($O164="",0,COUNTIFS('9. Payroll Allocation'!$B$234:$B$253,$O164,'9. Payroll Allocation'!$H$234:$H$253,"Tied out"))&gt;0,"Linked","MISSING DETAIL")))</f>
        <v/>
      </c>
      <c r="T164" s="58" t="str">
        <f t="shared" si="25"/>
        <v/>
      </c>
      <c r="U164" s="59" t="str">
        <f>IF($T164="","",COUNTIF($T$6:$T164,"?*"))</f>
        <v/>
      </c>
      <c r="V164" s="58" t="str">
        <f t="shared" si="26"/>
        <v/>
      </c>
    </row>
    <row r="165" spans="1:22" ht="12.95" customHeight="1" x14ac:dyDescent="0.25">
      <c r="A165" s="60" t="str">
        <f t="shared" si="18"/>
        <v/>
      </c>
      <c r="B165" s="37"/>
      <c r="C165" s="28"/>
      <c r="D165" s="35"/>
      <c r="E165" s="38"/>
      <c r="F165" s="38"/>
      <c r="G165" s="60" t="str">
        <f t="shared" si="19"/>
        <v/>
      </c>
      <c r="H165" s="61" t="str">
        <f t="shared" si="20"/>
        <v/>
      </c>
      <c r="I165" s="40"/>
      <c r="J165" s="62" t="str">
        <f t="shared" si="21"/>
        <v/>
      </c>
      <c r="K165" s="45" t="str">
        <f t="shared" si="22"/>
        <v/>
      </c>
      <c r="L165" s="55"/>
      <c r="M165" s="63">
        <f t="shared" si="23"/>
        <v>0</v>
      </c>
      <c r="N165" s="63">
        <f t="shared" si="24"/>
        <v>0</v>
      </c>
      <c r="O165" s="57"/>
      <c r="P165" s="40"/>
      <c r="Q165" s="60" t="str">
        <f>IF($D165="","",IF($K165&lt;&gt;"Balance Sheet / Clearing","-",IF(SUMPRODUCT(--(LEFT('7. Settlements'!$J$8:$J$107,7)=$A165),--('7. Settlements'!$M$8:$M$107="Tied out"))+SUMPRODUCT(--(LEFT('8. Transfers'!$H$9:$H$108,7)=$A165),--('8. Transfers'!$J$9:$J$108="Matched"))+SUMPRODUCT(--(LEFT('8. Transfers'!$I$9:$I$108,7)=$A165),--('8. Transfers'!$J$9:$J$108="Matched"))+IF($O165="",0,COUNTIFS('9. Payroll Allocation'!$B$234:$B$253,$O165,'9. Payroll Allocation'!$H$234:$H$253,"Tied out"))&gt;0,"Linked","MISSING DETAIL")))</f>
        <v/>
      </c>
      <c r="T165" s="58" t="str">
        <f t="shared" si="25"/>
        <v/>
      </c>
      <c r="U165" s="59" t="str">
        <f>IF($T165="","",COUNTIF($T$6:$T165,"?*"))</f>
        <v/>
      </c>
      <c r="V165" s="58" t="str">
        <f t="shared" si="26"/>
        <v/>
      </c>
    </row>
    <row r="166" spans="1:22" ht="12.95" customHeight="1" x14ac:dyDescent="0.25">
      <c r="A166" s="52" t="str">
        <f t="shared" si="18"/>
        <v/>
      </c>
      <c r="B166" s="37"/>
      <c r="C166" s="28"/>
      <c r="D166" s="35"/>
      <c r="E166" s="38"/>
      <c r="F166" s="38"/>
      <c r="G166" s="52" t="str">
        <f t="shared" si="19"/>
        <v/>
      </c>
      <c r="H166" s="53" t="str">
        <f t="shared" si="20"/>
        <v/>
      </c>
      <c r="I166" s="40"/>
      <c r="J166" s="54" t="str">
        <f t="shared" si="21"/>
        <v/>
      </c>
      <c r="K166" s="41" t="str">
        <f t="shared" si="22"/>
        <v/>
      </c>
      <c r="L166" s="55"/>
      <c r="M166" s="56">
        <f t="shared" si="23"/>
        <v>0</v>
      </c>
      <c r="N166" s="56">
        <f t="shared" si="24"/>
        <v>0</v>
      </c>
      <c r="O166" s="57"/>
      <c r="P166" s="40"/>
      <c r="Q166" s="52" t="str">
        <f>IF($D166="","",IF($K166&lt;&gt;"Balance Sheet / Clearing","-",IF(SUMPRODUCT(--(LEFT('7. Settlements'!$J$8:$J$107,7)=$A166),--('7. Settlements'!$M$8:$M$107="Tied out"))+SUMPRODUCT(--(LEFT('8. Transfers'!$H$9:$H$108,7)=$A166),--('8. Transfers'!$J$9:$J$108="Matched"))+SUMPRODUCT(--(LEFT('8. Transfers'!$I$9:$I$108,7)=$A166),--('8. Transfers'!$J$9:$J$108="Matched"))+IF($O166="",0,COUNTIFS('9. Payroll Allocation'!$B$234:$B$253,$O166,'9. Payroll Allocation'!$H$234:$H$253,"Tied out"))&gt;0,"Linked","MISSING DETAIL")))</f>
        <v/>
      </c>
      <c r="T166" s="58" t="str">
        <f t="shared" si="25"/>
        <v/>
      </c>
      <c r="U166" s="59" t="str">
        <f>IF($T166="","",COUNTIF($T$6:$T166,"?*"))</f>
        <v/>
      </c>
      <c r="V166" s="58" t="str">
        <f t="shared" si="26"/>
        <v/>
      </c>
    </row>
    <row r="167" spans="1:22" ht="12.95" customHeight="1" x14ac:dyDescent="0.25">
      <c r="A167" s="60" t="str">
        <f t="shared" si="18"/>
        <v/>
      </c>
      <c r="B167" s="37"/>
      <c r="C167" s="28"/>
      <c r="D167" s="35"/>
      <c r="E167" s="38"/>
      <c r="F167" s="38"/>
      <c r="G167" s="60" t="str">
        <f t="shared" si="19"/>
        <v/>
      </c>
      <c r="H167" s="61" t="str">
        <f t="shared" si="20"/>
        <v/>
      </c>
      <c r="I167" s="40"/>
      <c r="J167" s="62" t="str">
        <f t="shared" si="21"/>
        <v/>
      </c>
      <c r="K167" s="45" t="str">
        <f t="shared" si="22"/>
        <v/>
      </c>
      <c r="L167" s="55"/>
      <c r="M167" s="63">
        <f t="shared" si="23"/>
        <v>0</v>
      </c>
      <c r="N167" s="63">
        <f t="shared" si="24"/>
        <v>0</v>
      </c>
      <c r="O167" s="57"/>
      <c r="P167" s="40"/>
      <c r="Q167" s="60" t="str">
        <f>IF($D167="","",IF($K167&lt;&gt;"Balance Sheet / Clearing","-",IF(SUMPRODUCT(--(LEFT('7. Settlements'!$J$8:$J$107,7)=$A167),--('7. Settlements'!$M$8:$M$107="Tied out"))+SUMPRODUCT(--(LEFT('8. Transfers'!$H$9:$H$108,7)=$A167),--('8. Transfers'!$J$9:$J$108="Matched"))+SUMPRODUCT(--(LEFT('8. Transfers'!$I$9:$I$108,7)=$A167),--('8. Transfers'!$J$9:$J$108="Matched"))+IF($O167="",0,COUNTIFS('9. Payroll Allocation'!$B$234:$B$253,$O167,'9. Payroll Allocation'!$H$234:$H$253,"Tied out"))&gt;0,"Linked","MISSING DETAIL")))</f>
        <v/>
      </c>
      <c r="T167" s="58" t="str">
        <f t="shared" si="25"/>
        <v/>
      </c>
      <c r="U167" s="59" t="str">
        <f>IF($T167="","",COUNTIF($T$6:$T167,"?*"))</f>
        <v/>
      </c>
      <c r="V167" s="58" t="str">
        <f t="shared" si="26"/>
        <v/>
      </c>
    </row>
    <row r="168" spans="1:22" ht="12.95" customHeight="1" x14ac:dyDescent="0.25">
      <c r="A168" s="52" t="str">
        <f t="shared" si="18"/>
        <v/>
      </c>
      <c r="B168" s="37"/>
      <c r="C168" s="28"/>
      <c r="D168" s="35"/>
      <c r="E168" s="38"/>
      <c r="F168" s="38"/>
      <c r="G168" s="52" t="str">
        <f t="shared" si="19"/>
        <v/>
      </c>
      <c r="H168" s="53" t="str">
        <f t="shared" si="20"/>
        <v/>
      </c>
      <c r="I168" s="40"/>
      <c r="J168" s="54" t="str">
        <f t="shared" si="21"/>
        <v/>
      </c>
      <c r="K168" s="41" t="str">
        <f t="shared" si="22"/>
        <v/>
      </c>
      <c r="L168" s="55"/>
      <c r="M168" s="56">
        <f t="shared" si="23"/>
        <v>0</v>
      </c>
      <c r="N168" s="56">
        <f t="shared" si="24"/>
        <v>0</v>
      </c>
      <c r="O168" s="57"/>
      <c r="P168" s="40"/>
      <c r="Q168" s="52" t="str">
        <f>IF($D168="","",IF($K168&lt;&gt;"Balance Sheet / Clearing","-",IF(SUMPRODUCT(--(LEFT('7. Settlements'!$J$8:$J$107,7)=$A168),--('7. Settlements'!$M$8:$M$107="Tied out"))+SUMPRODUCT(--(LEFT('8. Transfers'!$H$9:$H$108,7)=$A168),--('8. Transfers'!$J$9:$J$108="Matched"))+SUMPRODUCT(--(LEFT('8. Transfers'!$I$9:$I$108,7)=$A168),--('8. Transfers'!$J$9:$J$108="Matched"))+IF($O168="",0,COUNTIFS('9. Payroll Allocation'!$B$234:$B$253,$O168,'9. Payroll Allocation'!$H$234:$H$253,"Tied out"))&gt;0,"Linked","MISSING DETAIL")))</f>
        <v/>
      </c>
      <c r="T168" s="58" t="str">
        <f t="shared" si="25"/>
        <v/>
      </c>
      <c r="U168" s="59" t="str">
        <f>IF($T168="","",COUNTIF($T$6:$T168,"?*"))</f>
        <v/>
      </c>
      <c r="V168" s="58" t="str">
        <f t="shared" si="26"/>
        <v/>
      </c>
    </row>
    <row r="169" spans="1:22" ht="12.95" customHeight="1" x14ac:dyDescent="0.25">
      <c r="A169" s="60" t="str">
        <f t="shared" si="18"/>
        <v/>
      </c>
      <c r="B169" s="37"/>
      <c r="C169" s="28"/>
      <c r="D169" s="35"/>
      <c r="E169" s="38"/>
      <c r="F169" s="38"/>
      <c r="G169" s="60" t="str">
        <f t="shared" si="19"/>
        <v/>
      </c>
      <c r="H169" s="61" t="str">
        <f t="shared" si="20"/>
        <v/>
      </c>
      <c r="I169" s="40"/>
      <c r="J169" s="62" t="str">
        <f t="shared" si="21"/>
        <v/>
      </c>
      <c r="K169" s="45" t="str">
        <f t="shared" si="22"/>
        <v/>
      </c>
      <c r="L169" s="55"/>
      <c r="M169" s="63">
        <f t="shared" si="23"/>
        <v>0</v>
      </c>
      <c r="N169" s="63">
        <f t="shared" si="24"/>
        <v>0</v>
      </c>
      <c r="O169" s="57"/>
      <c r="P169" s="40"/>
      <c r="Q169" s="60" t="str">
        <f>IF($D169="","",IF($K169&lt;&gt;"Balance Sheet / Clearing","-",IF(SUMPRODUCT(--(LEFT('7. Settlements'!$J$8:$J$107,7)=$A169),--('7. Settlements'!$M$8:$M$107="Tied out"))+SUMPRODUCT(--(LEFT('8. Transfers'!$H$9:$H$108,7)=$A169),--('8. Transfers'!$J$9:$J$108="Matched"))+SUMPRODUCT(--(LEFT('8. Transfers'!$I$9:$I$108,7)=$A169),--('8. Transfers'!$J$9:$J$108="Matched"))+IF($O169="",0,COUNTIFS('9. Payroll Allocation'!$B$234:$B$253,$O169,'9. Payroll Allocation'!$H$234:$H$253,"Tied out"))&gt;0,"Linked","MISSING DETAIL")))</f>
        <v/>
      </c>
      <c r="T169" s="58" t="str">
        <f t="shared" si="25"/>
        <v/>
      </c>
      <c r="U169" s="59" t="str">
        <f>IF($T169="","",COUNTIF($T$6:$T169,"?*"))</f>
        <v/>
      </c>
      <c r="V169" s="58" t="str">
        <f t="shared" si="26"/>
        <v/>
      </c>
    </row>
    <row r="170" spans="1:22" ht="12.95" customHeight="1" x14ac:dyDescent="0.25">
      <c r="A170" s="52" t="str">
        <f t="shared" si="18"/>
        <v/>
      </c>
      <c r="B170" s="37"/>
      <c r="C170" s="28"/>
      <c r="D170" s="35"/>
      <c r="E170" s="38"/>
      <c r="F170" s="38"/>
      <c r="G170" s="52" t="str">
        <f t="shared" si="19"/>
        <v/>
      </c>
      <c r="H170" s="53" t="str">
        <f t="shared" si="20"/>
        <v/>
      </c>
      <c r="I170" s="40"/>
      <c r="J170" s="54" t="str">
        <f t="shared" si="21"/>
        <v/>
      </c>
      <c r="K170" s="41" t="str">
        <f t="shared" si="22"/>
        <v/>
      </c>
      <c r="L170" s="55"/>
      <c r="M170" s="56">
        <f t="shared" si="23"/>
        <v>0</v>
      </c>
      <c r="N170" s="56">
        <f t="shared" si="24"/>
        <v>0</v>
      </c>
      <c r="O170" s="57"/>
      <c r="P170" s="40"/>
      <c r="Q170" s="52" t="str">
        <f>IF($D170="","",IF($K170&lt;&gt;"Balance Sheet / Clearing","-",IF(SUMPRODUCT(--(LEFT('7. Settlements'!$J$8:$J$107,7)=$A170),--('7. Settlements'!$M$8:$M$107="Tied out"))+SUMPRODUCT(--(LEFT('8. Transfers'!$H$9:$H$108,7)=$A170),--('8. Transfers'!$J$9:$J$108="Matched"))+SUMPRODUCT(--(LEFT('8. Transfers'!$I$9:$I$108,7)=$A170),--('8. Transfers'!$J$9:$J$108="Matched"))+IF($O170="",0,COUNTIFS('9. Payroll Allocation'!$B$234:$B$253,$O170,'9. Payroll Allocation'!$H$234:$H$253,"Tied out"))&gt;0,"Linked","MISSING DETAIL")))</f>
        <v/>
      </c>
      <c r="T170" s="58" t="str">
        <f t="shared" si="25"/>
        <v/>
      </c>
      <c r="U170" s="59" t="str">
        <f>IF($T170="","",COUNTIF($T$6:$T170,"?*"))</f>
        <v/>
      </c>
      <c r="V170" s="58" t="str">
        <f t="shared" si="26"/>
        <v/>
      </c>
    </row>
    <row r="171" spans="1:22" ht="12.95" customHeight="1" x14ac:dyDescent="0.25">
      <c r="A171" s="60" t="str">
        <f t="shared" si="18"/>
        <v/>
      </c>
      <c r="B171" s="37"/>
      <c r="C171" s="28"/>
      <c r="D171" s="35"/>
      <c r="E171" s="38"/>
      <c r="F171" s="38"/>
      <c r="G171" s="60" t="str">
        <f t="shared" si="19"/>
        <v/>
      </c>
      <c r="H171" s="61" t="str">
        <f t="shared" si="20"/>
        <v/>
      </c>
      <c r="I171" s="40"/>
      <c r="J171" s="62" t="str">
        <f t="shared" si="21"/>
        <v/>
      </c>
      <c r="K171" s="45" t="str">
        <f t="shared" si="22"/>
        <v/>
      </c>
      <c r="L171" s="55"/>
      <c r="M171" s="63">
        <f t="shared" si="23"/>
        <v>0</v>
      </c>
      <c r="N171" s="63">
        <f t="shared" si="24"/>
        <v>0</v>
      </c>
      <c r="O171" s="57"/>
      <c r="P171" s="40"/>
      <c r="Q171" s="60" t="str">
        <f>IF($D171="","",IF($K171&lt;&gt;"Balance Sheet / Clearing","-",IF(SUMPRODUCT(--(LEFT('7. Settlements'!$J$8:$J$107,7)=$A171),--('7. Settlements'!$M$8:$M$107="Tied out"))+SUMPRODUCT(--(LEFT('8. Transfers'!$H$9:$H$108,7)=$A171),--('8. Transfers'!$J$9:$J$108="Matched"))+SUMPRODUCT(--(LEFT('8. Transfers'!$I$9:$I$108,7)=$A171),--('8. Transfers'!$J$9:$J$108="Matched"))+IF($O171="",0,COUNTIFS('9. Payroll Allocation'!$B$234:$B$253,$O171,'9. Payroll Allocation'!$H$234:$H$253,"Tied out"))&gt;0,"Linked","MISSING DETAIL")))</f>
        <v/>
      </c>
      <c r="T171" s="58" t="str">
        <f t="shared" si="25"/>
        <v/>
      </c>
      <c r="U171" s="59" t="str">
        <f>IF($T171="","",COUNTIF($T$6:$T171,"?*"))</f>
        <v/>
      </c>
      <c r="V171" s="58" t="str">
        <f t="shared" si="26"/>
        <v/>
      </c>
    </row>
    <row r="172" spans="1:22" ht="12.95" customHeight="1" x14ac:dyDescent="0.25">
      <c r="A172" s="52" t="str">
        <f t="shared" si="18"/>
        <v/>
      </c>
      <c r="B172" s="37"/>
      <c r="C172" s="28"/>
      <c r="D172" s="35"/>
      <c r="E172" s="38"/>
      <c r="F172" s="38"/>
      <c r="G172" s="52" t="str">
        <f t="shared" si="19"/>
        <v/>
      </c>
      <c r="H172" s="53" t="str">
        <f t="shared" si="20"/>
        <v/>
      </c>
      <c r="I172" s="40"/>
      <c r="J172" s="54" t="str">
        <f t="shared" si="21"/>
        <v/>
      </c>
      <c r="K172" s="41" t="str">
        <f t="shared" si="22"/>
        <v/>
      </c>
      <c r="L172" s="55"/>
      <c r="M172" s="56">
        <f t="shared" si="23"/>
        <v>0</v>
      </c>
      <c r="N172" s="56">
        <f t="shared" si="24"/>
        <v>0</v>
      </c>
      <c r="O172" s="57"/>
      <c r="P172" s="40"/>
      <c r="Q172" s="52" t="str">
        <f>IF($D172="","",IF($K172&lt;&gt;"Balance Sheet / Clearing","-",IF(SUMPRODUCT(--(LEFT('7. Settlements'!$J$8:$J$107,7)=$A172),--('7. Settlements'!$M$8:$M$107="Tied out"))+SUMPRODUCT(--(LEFT('8. Transfers'!$H$9:$H$108,7)=$A172),--('8. Transfers'!$J$9:$J$108="Matched"))+SUMPRODUCT(--(LEFT('8. Transfers'!$I$9:$I$108,7)=$A172),--('8. Transfers'!$J$9:$J$108="Matched"))+IF($O172="",0,COUNTIFS('9. Payroll Allocation'!$B$234:$B$253,$O172,'9. Payroll Allocation'!$H$234:$H$253,"Tied out"))&gt;0,"Linked","MISSING DETAIL")))</f>
        <v/>
      </c>
      <c r="T172" s="58" t="str">
        <f t="shared" si="25"/>
        <v/>
      </c>
      <c r="U172" s="59" t="str">
        <f>IF($T172="","",COUNTIF($T$6:$T172,"?*"))</f>
        <v/>
      </c>
      <c r="V172" s="58" t="str">
        <f t="shared" si="26"/>
        <v/>
      </c>
    </row>
    <row r="173" spans="1:22" ht="12.95" customHeight="1" x14ac:dyDescent="0.25">
      <c r="A173" s="60" t="str">
        <f t="shared" si="18"/>
        <v/>
      </c>
      <c r="B173" s="37"/>
      <c r="C173" s="28"/>
      <c r="D173" s="35"/>
      <c r="E173" s="38"/>
      <c r="F173" s="38"/>
      <c r="G173" s="60" t="str">
        <f t="shared" si="19"/>
        <v/>
      </c>
      <c r="H173" s="61" t="str">
        <f t="shared" si="20"/>
        <v/>
      </c>
      <c r="I173" s="40"/>
      <c r="J173" s="62" t="str">
        <f t="shared" si="21"/>
        <v/>
      </c>
      <c r="K173" s="45" t="str">
        <f t="shared" si="22"/>
        <v/>
      </c>
      <c r="L173" s="55"/>
      <c r="M173" s="63">
        <f t="shared" si="23"/>
        <v>0</v>
      </c>
      <c r="N173" s="63">
        <f t="shared" si="24"/>
        <v>0</v>
      </c>
      <c r="O173" s="57"/>
      <c r="P173" s="40"/>
      <c r="Q173" s="60" t="str">
        <f>IF($D173="","",IF($K173&lt;&gt;"Balance Sheet / Clearing","-",IF(SUMPRODUCT(--(LEFT('7. Settlements'!$J$8:$J$107,7)=$A173),--('7. Settlements'!$M$8:$M$107="Tied out"))+SUMPRODUCT(--(LEFT('8. Transfers'!$H$9:$H$108,7)=$A173),--('8. Transfers'!$J$9:$J$108="Matched"))+SUMPRODUCT(--(LEFT('8. Transfers'!$I$9:$I$108,7)=$A173),--('8. Transfers'!$J$9:$J$108="Matched"))+IF($O173="",0,COUNTIFS('9. Payroll Allocation'!$B$234:$B$253,$O173,'9. Payroll Allocation'!$H$234:$H$253,"Tied out"))&gt;0,"Linked","MISSING DETAIL")))</f>
        <v/>
      </c>
      <c r="T173" s="58" t="str">
        <f t="shared" si="25"/>
        <v/>
      </c>
      <c r="U173" s="59" t="str">
        <f>IF($T173="","",COUNTIF($T$6:$T173,"?*"))</f>
        <v/>
      </c>
      <c r="V173" s="58" t="str">
        <f t="shared" si="26"/>
        <v/>
      </c>
    </row>
    <row r="174" spans="1:22" ht="12.95" customHeight="1" x14ac:dyDescent="0.25">
      <c r="A174" s="52" t="str">
        <f t="shared" si="18"/>
        <v/>
      </c>
      <c r="B174" s="37"/>
      <c r="C174" s="28"/>
      <c r="D174" s="35"/>
      <c r="E174" s="38"/>
      <c r="F174" s="38"/>
      <c r="G174" s="52" t="str">
        <f t="shared" si="19"/>
        <v/>
      </c>
      <c r="H174" s="53" t="str">
        <f t="shared" si="20"/>
        <v/>
      </c>
      <c r="I174" s="40"/>
      <c r="J174" s="54" t="str">
        <f t="shared" si="21"/>
        <v/>
      </c>
      <c r="K174" s="41" t="str">
        <f t="shared" si="22"/>
        <v/>
      </c>
      <c r="L174" s="55"/>
      <c r="M174" s="56">
        <f t="shared" si="23"/>
        <v>0</v>
      </c>
      <c r="N174" s="56">
        <f t="shared" si="24"/>
        <v>0</v>
      </c>
      <c r="O174" s="57"/>
      <c r="P174" s="40"/>
      <c r="Q174" s="52" t="str">
        <f>IF($D174="","",IF($K174&lt;&gt;"Balance Sheet / Clearing","-",IF(SUMPRODUCT(--(LEFT('7. Settlements'!$J$8:$J$107,7)=$A174),--('7. Settlements'!$M$8:$M$107="Tied out"))+SUMPRODUCT(--(LEFT('8. Transfers'!$H$9:$H$108,7)=$A174),--('8. Transfers'!$J$9:$J$108="Matched"))+SUMPRODUCT(--(LEFT('8. Transfers'!$I$9:$I$108,7)=$A174),--('8. Transfers'!$J$9:$J$108="Matched"))+IF($O174="",0,COUNTIFS('9. Payroll Allocation'!$B$234:$B$253,$O174,'9. Payroll Allocation'!$H$234:$H$253,"Tied out"))&gt;0,"Linked","MISSING DETAIL")))</f>
        <v/>
      </c>
      <c r="T174" s="58" t="str">
        <f t="shared" si="25"/>
        <v/>
      </c>
      <c r="U174" s="59" t="str">
        <f>IF($T174="","",COUNTIF($T$6:$T174,"?*"))</f>
        <v/>
      </c>
      <c r="V174" s="58" t="str">
        <f t="shared" si="26"/>
        <v/>
      </c>
    </row>
    <row r="175" spans="1:22" ht="12.95" customHeight="1" x14ac:dyDescent="0.25">
      <c r="A175" s="60" t="str">
        <f t="shared" si="18"/>
        <v/>
      </c>
      <c r="B175" s="37"/>
      <c r="C175" s="28"/>
      <c r="D175" s="35"/>
      <c r="E175" s="38"/>
      <c r="F175" s="38"/>
      <c r="G175" s="60" t="str">
        <f t="shared" si="19"/>
        <v/>
      </c>
      <c r="H175" s="61" t="str">
        <f t="shared" si="20"/>
        <v/>
      </c>
      <c r="I175" s="40"/>
      <c r="J175" s="62" t="str">
        <f t="shared" si="21"/>
        <v/>
      </c>
      <c r="K175" s="45" t="str">
        <f t="shared" si="22"/>
        <v/>
      </c>
      <c r="L175" s="55"/>
      <c r="M175" s="63">
        <f t="shared" si="23"/>
        <v>0</v>
      </c>
      <c r="N175" s="63">
        <f t="shared" si="24"/>
        <v>0</v>
      </c>
      <c r="O175" s="57"/>
      <c r="P175" s="40"/>
      <c r="Q175" s="60" t="str">
        <f>IF($D175="","",IF($K175&lt;&gt;"Balance Sheet / Clearing","-",IF(SUMPRODUCT(--(LEFT('7. Settlements'!$J$8:$J$107,7)=$A175),--('7. Settlements'!$M$8:$M$107="Tied out"))+SUMPRODUCT(--(LEFT('8. Transfers'!$H$9:$H$108,7)=$A175),--('8. Transfers'!$J$9:$J$108="Matched"))+SUMPRODUCT(--(LEFT('8. Transfers'!$I$9:$I$108,7)=$A175),--('8. Transfers'!$J$9:$J$108="Matched"))+IF($O175="",0,COUNTIFS('9. Payroll Allocation'!$B$234:$B$253,$O175,'9. Payroll Allocation'!$H$234:$H$253,"Tied out"))&gt;0,"Linked","MISSING DETAIL")))</f>
        <v/>
      </c>
      <c r="T175" s="58" t="str">
        <f t="shared" si="25"/>
        <v/>
      </c>
      <c r="U175" s="59" t="str">
        <f>IF($T175="","",COUNTIF($T$6:$T175,"?*"))</f>
        <v/>
      </c>
      <c r="V175" s="58" t="str">
        <f t="shared" si="26"/>
        <v/>
      </c>
    </row>
    <row r="176" spans="1:22" ht="12.95" customHeight="1" x14ac:dyDescent="0.25">
      <c r="A176" s="52" t="str">
        <f t="shared" si="18"/>
        <v/>
      </c>
      <c r="B176" s="37"/>
      <c r="C176" s="28"/>
      <c r="D176" s="35"/>
      <c r="E176" s="38"/>
      <c r="F176" s="38"/>
      <c r="G176" s="52" t="str">
        <f t="shared" si="19"/>
        <v/>
      </c>
      <c r="H176" s="53" t="str">
        <f t="shared" si="20"/>
        <v/>
      </c>
      <c r="I176" s="40"/>
      <c r="J176" s="54" t="str">
        <f t="shared" si="21"/>
        <v/>
      </c>
      <c r="K176" s="41" t="str">
        <f t="shared" si="22"/>
        <v/>
      </c>
      <c r="L176" s="55"/>
      <c r="M176" s="56">
        <f t="shared" si="23"/>
        <v>0</v>
      </c>
      <c r="N176" s="56">
        <f t="shared" si="24"/>
        <v>0</v>
      </c>
      <c r="O176" s="57"/>
      <c r="P176" s="40"/>
      <c r="Q176" s="52" t="str">
        <f>IF($D176="","",IF($K176&lt;&gt;"Balance Sheet / Clearing","-",IF(SUMPRODUCT(--(LEFT('7. Settlements'!$J$8:$J$107,7)=$A176),--('7. Settlements'!$M$8:$M$107="Tied out"))+SUMPRODUCT(--(LEFT('8. Transfers'!$H$9:$H$108,7)=$A176),--('8. Transfers'!$J$9:$J$108="Matched"))+SUMPRODUCT(--(LEFT('8. Transfers'!$I$9:$I$108,7)=$A176),--('8. Transfers'!$J$9:$J$108="Matched"))+IF($O176="",0,COUNTIFS('9. Payroll Allocation'!$B$234:$B$253,$O176,'9. Payroll Allocation'!$H$234:$H$253,"Tied out"))&gt;0,"Linked","MISSING DETAIL")))</f>
        <v/>
      </c>
      <c r="T176" s="58" t="str">
        <f t="shared" si="25"/>
        <v/>
      </c>
      <c r="U176" s="59" t="str">
        <f>IF($T176="","",COUNTIF($T$6:$T176,"?*"))</f>
        <v/>
      </c>
      <c r="V176" s="58" t="str">
        <f t="shared" si="26"/>
        <v/>
      </c>
    </row>
    <row r="177" spans="1:22" ht="12.95" customHeight="1" x14ac:dyDescent="0.25">
      <c r="A177" s="60" t="str">
        <f t="shared" si="18"/>
        <v/>
      </c>
      <c r="B177" s="37"/>
      <c r="C177" s="28"/>
      <c r="D177" s="35"/>
      <c r="E177" s="38"/>
      <c r="F177" s="38"/>
      <c r="G177" s="60" t="str">
        <f t="shared" si="19"/>
        <v/>
      </c>
      <c r="H177" s="61" t="str">
        <f t="shared" si="20"/>
        <v/>
      </c>
      <c r="I177" s="40"/>
      <c r="J177" s="62" t="str">
        <f t="shared" si="21"/>
        <v/>
      </c>
      <c r="K177" s="45" t="str">
        <f t="shared" si="22"/>
        <v/>
      </c>
      <c r="L177" s="55"/>
      <c r="M177" s="63">
        <f t="shared" si="23"/>
        <v>0</v>
      </c>
      <c r="N177" s="63">
        <f t="shared" si="24"/>
        <v>0</v>
      </c>
      <c r="O177" s="57"/>
      <c r="P177" s="40"/>
      <c r="Q177" s="60" t="str">
        <f>IF($D177="","",IF($K177&lt;&gt;"Balance Sheet / Clearing","-",IF(SUMPRODUCT(--(LEFT('7. Settlements'!$J$8:$J$107,7)=$A177),--('7. Settlements'!$M$8:$M$107="Tied out"))+SUMPRODUCT(--(LEFT('8. Transfers'!$H$9:$H$108,7)=$A177),--('8. Transfers'!$J$9:$J$108="Matched"))+SUMPRODUCT(--(LEFT('8. Transfers'!$I$9:$I$108,7)=$A177),--('8. Transfers'!$J$9:$J$108="Matched"))+IF($O177="",0,COUNTIFS('9. Payroll Allocation'!$B$234:$B$253,$O177,'9. Payroll Allocation'!$H$234:$H$253,"Tied out"))&gt;0,"Linked","MISSING DETAIL")))</f>
        <v/>
      </c>
      <c r="T177" s="58" t="str">
        <f t="shared" si="25"/>
        <v/>
      </c>
      <c r="U177" s="59" t="str">
        <f>IF($T177="","",COUNTIF($T$6:$T177,"?*"))</f>
        <v/>
      </c>
      <c r="V177" s="58" t="str">
        <f t="shared" si="26"/>
        <v/>
      </c>
    </row>
    <row r="178" spans="1:22" ht="12.95" customHeight="1" x14ac:dyDescent="0.25">
      <c r="A178" s="52" t="str">
        <f t="shared" si="18"/>
        <v/>
      </c>
      <c r="B178" s="37"/>
      <c r="C178" s="28"/>
      <c r="D178" s="35"/>
      <c r="E178" s="38"/>
      <c r="F178" s="38"/>
      <c r="G178" s="52" t="str">
        <f t="shared" si="19"/>
        <v/>
      </c>
      <c r="H178" s="53" t="str">
        <f t="shared" si="20"/>
        <v/>
      </c>
      <c r="I178" s="40"/>
      <c r="J178" s="54" t="str">
        <f t="shared" si="21"/>
        <v/>
      </c>
      <c r="K178" s="41" t="str">
        <f t="shared" si="22"/>
        <v/>
      </c>
      <c r="L178" s="55"/>
      <c r="M178" s="56">
        <f t="shared" si="23"/>
        <v>0</v>
      </c>
      <c r="N178" s="56">
        <f t="shared" si="24"/>
        <v>0</v>
      </c>
      <c r="O178" s="57"/>
      <c r="P178" s="40"/>
      <c r="Q178" s="52" t="str">
        <f>IF($D178="","",IF($K178&lt;&gt;"Balance Sheet / Clearing","-",IF(SUMPRODUCT(--(LEFT('7. Settlements'!$J$8:$J$107,7)=$A178),--('7. Settlements'!$M$8:$M$107="Tied out"))+SUMPRODUCT(--(LEFT('8. Transfers'!$H$9:$H$108,7)=$A178),--('8. Transfers'!$J$9:$J$108="Matched"))+SUMPRODUCT(--(LEFT('8. Transfers'!$I$9:$I$108,7)=$A178),--('8. Transfers'!$J$9:$J$108="Matched"))+IF($O178="",0,COUNTIFS('9. Payroll Allocation'!$B$234:$B$253,$O178,'9. Payroll Allocation'!$H$234:$H$253,"Tied out"))&gt;0,"Linked","MISSING DETAIL")))</f>
        <v/>
      </c>
      <c r="T178" s="58" t="str">
        <f t="shared" si="25"/>
        <v/>
      </c>
      <c r="U178" s="59" t="str">
        <f>IF($T178="","",COUNTIF($T$6:$T178,"?*"))</f>
        <v/>
      </c>
      <c r="V178" s="58" t="str">
        <f t="shared" si="26"/>
        <v/>
      </c>
    </row>
    <row r="179" spans="1:22" ht="12.95" customHeight="1" x14ac:dyDescent="0.25">
      <c r="A179" s="60" t="str">
        <f t="shared" si="18"/>
        <v/>
      </c>
      <c r="B179" s="37"/>
      <c r="C179" s="28"/>
      <c r="D179" s="35"/>
      <c r="E179" s="38"/>
      <c r="F179" s="38"/>
      <c r="G179" s="60" t="str">
        <f t="shared" si="19"/>
        <v/>
      </c>
      <c r="H179" s="61" t="str">
        <f t="shared" si="20"/>
        <v/>
      </c>
      <c r="I179" s="40"/>
      <c r="J179" s="62" t="str">
        <f t="shared" si="21"/>
        <v/>
      </c>
      <c r="K179" s="45" t="str">
        <f t="shared" si="22"/>
        <v/>
      </c>
      <c r="L179" s="55"/>
      <c r="M179" s="63">
        <f t="shared" si="23"/>
        <v>0</v>
      </c>
      <c r="N179" s="63">
        <f t="shared" si="24"/>
        <v>0</v>
      </c>
      <c r="O179" s="57"/>
      <c r="P179" s="40"/>
      <c r="Q179" s="60" t="str">
        <f>IF($D179="","",IF($K179&lt;&gt;"Balance Sheet / Clearing","-",IF(SUMPRODUCT(--(LEFT('7. Settlements'!$J$8:$J$107,7)=$A179),--('7. Settlements'!$M$8:$M$107="Tied out"))+SUMPRODUCT(--(LEFT('8. Transfers'!$H$9:$H$108,7)=$A179),--('8. Transfers'!$J$9:$J$108="Matched"))+SUMPRODUCT(--(LEFT('8. Transfers'!$I$9:$I$108,7)=$A179),--('8. Transfers'!$J$9:$J$108="Matched"))+IF($O179="",0,COUNTIFS('9. Payroll Allocation'!$B$234:$B$253,$O179,'9. Payroll Allocation'!$H$234:$H$253,"Tied out"))&gt;0,"Linked","MISSING DETAIL")))</f>
        <v/>
      </c>
      <c r="T179" s="58" t="str">
        <f t="shared" si="25"/>
        <v/>
      </c>
      <c r="U179" s="59" t="str">
        <f>IF($T179="","",COUNTIF($T$6:$T179,"?*"))</f>
        <v/>
      </c>
      <c r="V179" s="58" t="str">
        <f t="shared" si="26"/>
        <v/>
      </c>
    </row>
    <row r="180" spans="1:22" ht="12.95" customHeight="1" x14ac:dyDescent="0.25">
      <c r="A180" s="52" t="str">
        <f t="shared" si="18"/>
        <v/>
      </c>
      <c r="B180" s="37"/>
      <c r="C180" s="28"/>
      <c r="D180" s="35"/>
      <c r="E180" s="38"/>
      <c r="F180" s="38"/>
      <c r="G180" s="52" t="str">
        <f t="shared" si="19"/>
        <v/>
      </c>
      <c r="H180" s="53" t="str">
        <f t="shared" si="20"/>
        <v/>
      </c>
      <c r="I180" s="40"/>
      <c r="J180" s="54" t="str">
        <f t="shared" si="21"/>
        <v/>
      </c>
      <c r="K180" s="41" t="str">
        <f t="shared" si="22"/>
        <v/>
      </c>
      <c r="L180" s="55"/>
      <c r="M180" s="56">
        <f t="shared" si="23"/>
        <v>0</v>
      </c>
      <c r="N180" s="56">
        <f t="shared" si="24"/>
        <v>0</v>
      </c>
      <c r="O180" s="57"/>
      <c r="P180" s="40"/>
      <c r="Q180" s="52" t="str">
        <f>IF($D180="","",IF($K180&lt;&gt;"Balance Sheet / Clearing","-",IF(SUMPRODUCT(--(LEFT('7. Settlements'!$J$8:$J$107,7)=$A180),--('7. Settlements'!$M$8:$M$107="Tied out"))+SUMPRODUCT(--(LEFT('8. Transfers'!$H$9:$H$108,7)=$A180),--('8. Transfers'!$J$9:$J$108="Matched"))+SUMPRODUCT(--(LEFT('8. Transfers'!$I$9:$I$108,7)=$A180),--('8. Transfers'!$J$9:$J$108="Matched"))+IF($O180="",0,COUNTIFS('9. Payroll Allocation'!$B$234:$B$253,$O180,'9. Payroll Allocation'!$H$234:$H$253,"Tied out"))&gt;0,"Linked","MISSING DETAIL")))</f>
        <v/>
      </c>
      <c r="T180" s="58" t="str">
        <f t="shared" si="25"/>
        <v/>
      </c>
      <c r="U180" s="59" t="str">
        <f>IF($T180="","",COUNTIF($T$6:$T180,"?*"))</f>
        <v/>
      </c>
      <c r="V180" s="58" t="str">
        <f t="shared" si="26"/>
        <v/>
      </c>
    </row>
    <row r="181" spans="1:22" ht="12.95" customHeight="1" x14ac:dyDescent="0.25">
      <c r="A181" s="60" t="str">
        <f t="shared" si="18"/>
        <v/>
      </c>
      <c r="B181" s="37"/>
      <c r="C181" s="28"/>
      <c r="D181" s="35"/>
      <c r="E181" s="38"/>
      <c r="F181" s="38"/>
      <c r="G181" s="60" t="str">
        <f t="shared" si="19"/>
        <v/>
      </c>
      <c r="H181" s="61" t="str">
        <f t="shared" si="20"/>
        <v/>
      </c>
      <c r="I181" s="40"/>
      <c r="J181" s="62" t="str">
        <f t="shared" si="21"/>
        <v/>
      </c>
      <c r="K181" s="45" t="str">
        <f t="shared" si="22"/>
        <v/>
      </c>
      <c r="L181" s="55"/>
      <c r="M181" s="63">
        <f t="shared" si="23"/>
        <v>0</v>
      </c>
      <c r="N181" s="63">
        <f t="shared" si="24"/>
        <v>0</v>
      </c>
      <c r="O181" s="57"/>
      <c r="P181" s="40"/>
      <c r="Q181" s="60" t="str">
        <f>IF($D181="","",IF($K181&lt;&gt;"Balance Sheet / Clearing","-",IF(SUMPRODUCT(--(LEFT('7. Settlements'!$J$8:$J$107,7)=$A181),--('7. Settlements'!$M$8:$M$107="Tied out"))+SUMPRODUCT(--(LEFT('8. Transfers'!$H$9:$H$108,7)=$A181),--('8. Transfers'!$J$9:$J$108="Matched"))+SUMPRODUCT(--(LEFT('8. Transfers'!$I$9:$I$108,7)=$A181),--('8. Transfers'!$J$9:$J$108="Matched"))+IF($O181="",0,COUNTIFS('9. Payroll Allocation'!$B$234:$B$253,$O181,'9. Payroll Allocation'!$H$234:$H$253,"Tied out"))&gt;0,"Linked","MISSING DETAIL")))</f>
        <v/>
      </c>
      <c r="T181" s="58" t="str">
        <f t="shared" si="25"/>
        <v/>
      </c>
      <c r="U181" s="59" t="str">
        <f>IF($T181="","",COUNTIF($T$6:$T181,"?*"))</f>
        <v/>
      </c>
      <c r="V181" s="58" t="str">
        <f t="shared" si="26"/>
        <v/>
      </c>
    </row>
    <row r="182" spans="1:22" ht="12.95" customHeight="1" x14ac:dyDescent="0.25">
      <c r="A182" s="52" t="str">
        <f t="shared" si="18"/>
        <v/>
      </c>
      <c r="B182" s="37"/>
      <c r="C182" s="28"/>
      <c r="D182" s="35"/>
      <c r="E182" s="38"/>
      <c r="F182" s="38"/>
      <c r="G182" s="52" t="str">
        <f t="shared" si="19"/>
        <v/>
      </c>
      <c r="H182" s="53" t="str">
        <f t="shared" si="20"/>
        <v/>
      </c>
      <c r="I182" s="40"/>
      <c r="J182" s="54" t="str">
        <f t="shared" si="21"/>
        <v/>
      </c>
      <c r="K182" s="41" t="str">
        <f t="shared" si="22"/>
        <v/>
      </c>
      <c r="L182" s="55"/>
      <c r="M182" s="56">
        <f t="shared" si="23"/>
        <v>0</v>
      </c>
      <c r="N182" s="56">
        <f t="shared" si="24"/>
        <v>0</v>
      </c>
      <c r="O182" s="57"/>
      <c r="P182" s="40"/>
      <c r="Q182" s="52" t="str">
        <f>IF($D182="","",IF($K182&lt;&gt;"Balance Sheet / Clearing","-",IF(SUMPRODUCT(--(LEFT('7. Settlements'!$J$8:$J$107,7)=$A182),--('7. Settlements'!$M$8:$M$107="Tied out"))+SUMPRODUCT(--(LEFT('8. Transfers'!$H$9:$H$108,7)=$A182),--('8. Transfers'!$J$9:$J$108="Matched"))+SUMPRODUCT(--(LEFT('8. Transfers'!$I$9:$I$108,7)=$A182),--('8. Transfers'!$J$9:$J$108="Matched"))+IF($O182="",0,COUNTIFS('9. Payroll Allocation'!$B$234:$B$253,$O182,'9. Payroll Allocation'!$H$234:$H$253,"Tied out"))&gt;0,"Linked","MISSING DETAIL")))</f>
        <v/>
      </c>
      <c r="T182" s="58" t="str">
        <f t="shared" si="25"/>
        <v/>
      </c>
      <c r="U182" s="59" t="str">
        <f>IF($T182="","",COUNTIF($T$6:$T182,"?*"))</f>
        <v/>
      </c>
      <c r="V182" s="58" t="str">
        <f t="shared" si="26"/>
        <v/>
      </c>
    </row>
    <row r="183" spans="1:22" ht="12.95" customHeight="1" x14ac:dyDescent="0.25">
      <c r="A183" s="60" t="str">
        <f t="shared" si="18"/>
        <v/>
      </c>
      <c r="B183" s="37"/>
      <c r="C183" s="28"/>
      <c r="D183" s="35"/>
      <c r="E183" s="38"/>
      <c r="F183" s="38"/>
      <c r="G183" s="60" t="str">
        <f t="shared" si="19"/>
        <v/>
      </c>
      <c r="H183" s="61" t="str">
        <f t="shared" si="20"/>
        <v/>
      </c>
      <c r="I183" s="40"/>
      <c r="J183" s="62" t="str">
        <f t="shared" si="21"/>
        <v/>
      </c>
      <c r="K183" s="45" t="str">
        <f t="shared" si="22"/>
        <v/>
      </c>
      <c r="L183" s="55"/>
      <c r="M183" s="63">
        <f t="shared" si="23"/>
        <v>0</v>
      </c>
      <c r="N183" s="63">
        <f t="shared" si="24"/>
        <v>0</v>
      </c>
      <c r="O183" s="57"/>
      <c r="P183" s="40"/>
      <c r="Q183" s="60" t="str">
        <f>IF($D183="","",IF($K183&lt;&gt;"Balance Sheet / Clearing","-",IF(SUMPRODUCT(--(LEFT('7. Settlements'!$J$8:$J$107,7)=$A183),--('7. Settlements'!$M$8:$M$107="Tied out"))+SUMPRODUCT(--(LEFT('8. Transfers'!$H$9:$H$108,7)=$A183),--('8. Transfers'!$J$9:$J$108="Matched"))+SUMPRODUCT(--(LEFT('8. Transfers'!$I$9:$I$108,7)=$A183),--('8. Transfers'!$J$9:$J$108="Matched"))+IF($O183="",0,COUNTIFS('9. Payroll Allocation'!$B$234:$B$253,$O183,'9. Payroll Allocation'!$H$234:$H$253,"Tied out"))&gt;0,"Linked","MISSING DETAIL")))</f>
        <v/>
      </c>
      <c r="T183" s="58" t="str">
        <f t="shared" si="25"/>
        <v/>
      </c>
      <c r="U183" s="59" t="str">
        <f>IF($T183="","",COUNTIF($T$6:$T183,"?*"))</f>
        <v/>
      </c>
      <c r="V183" s="58" t="str">
        <f t="shared" si="26"/>
        <v/>
      </c>
    </row>
    <row r="184" spans="1:22" ht="12.95" customHeight="1" x14ac:dyDescent="0.25">
      <c r="A184" s="52" t="str">
        <f t="shared" si="18"/>
        <v/>
      </c>
      <c r="B184" s="37"/>
      <c r="C184" s="28"/>
      <c r="D184" s="35"/>
      <c r="E184" s="38"/>
      <c r="F184" s="38"/>
      <c r="G184" s="52" t="str">
        <f t="shared" si="19"/>
        <v/>
      </c>
      <c r="H184" s="53" t="str">
        <f t="shared" si="20"/>
        <v/>
      </c>
      <c r="I184" s="40"/>
      <c r="J184" s="54" t="str">
        <f t="shared" si="21"/>
        <v/>
      </c>
      <c r="K184" s="41" t="str">
        <f t="shared" si="22"/>
        <v/>
      </c>
      <c r="L184" s="55"/>
      <c r="M184" s="56">
        <f t="shared" si="23"/>
        <v>0</v>
      </c>
      <c r="N184" s="56">
        <f t="shared" si="24"/>
        <v>0</v>
      </c>
      <c r="O184" s="57"/>
      <c r="P184" s="40"/>
      <c r="Q184" s="52" t="str">
        <f>IF($D184="","",IF($K184&lt;&gt;"Balance Sheet / Clearing","-",IF(SUMPRODUCT(--(LEFT('7. Settlements'!$J$8:$J$107,7)=$A184),--('7. Settlements'!$M$8:$M$107="Tied out"))+SUMPRODUCT(--(LEFT('8. Transfers'!$H$9:$H$108,7)=$A184),--('8. Transfers'!$J$9:$J$108="Matched"))+SUMPRODUCT(--(LEFT('8. Transfers'!$I$9:$I$108,7)=$A184),--('8. Transfers'!$J$9:$J$108="Matched"))+IF($O184="",0,COUNTIFS('9. Payroll Allocation'!$B$234:$B$253,$O184,'9. Payroll Allocation'!$H$234:$H$253,"Tied out"))&gt;0,"Linked","MISSING DETAIL")))</f>
        <v/>
      </c>
      <c r="T184" s="58" t="str">
        <f t="shared" si="25"/>
        <v/>
      </c>
      <c r="U184" s="59" t="str">
        <f>IF($T184="","",COUNTIF($T$6:$T184,"?*"))</f>
        <v/>
      </c>
      <c r="V184" s="58" t="str">
        <f t="shared" si="26"/>
        <v/>
      </c>
    </row>
    <row r="185" spans="1:22" ht="12.95" customHeight="1" x14ac:dyDescent="0.25">
      <c r="A185" s="60" t="str">
        <f t="shared" si="18"/>
        <v/>
      </c>
      <c r="B185" s="37"/>
      <c r="C185" s="28"/>
      <c r="D185" s="35"/>
      <c r="E185" s="38"/>
      <c r="F185" s="38"/>
      <c r="G185" s="60" t="str">
        <f t="shared" si="19"/>
        <v/>
      </c>
      <c r="H185" s="61" t="str">
        <f t="shared" si="20"/>
        <v/>
      </c>
      <c r="I185" s="40"/>
      <c r="J185" s="62" t="str">
        <f t="shared" si="21"/>
        <v/>
      </c>
      <c r="K185" s="45" t="str">
        <f t="shared" si="22"/>
        <v/>
      </c>
      <c r="L185" s="55"/>
      <c r="M185" s="63">
        <f t="shared" si="23"/>
        <v>0</v>
      </c>
      <c r="N185" s="63">
        <f t="shared" si="24"/>
        <v>0</v>
      </c>
      <c r="O185" s="57"/>
      <c r="P185" s="40"/>
      <c r="Q185" s="60" t="str">
        <f>IF($D185="","",IF($K185&lt;&gt;"Balance Sheet / Clearing","-",IF(SUMPRODUCT(--(LEFT('7. Settlements'!$J$8:$J$107,7)=$A185),--('7. Settlements'!$M$8:$M$107="Tied out"))+SUMPRODUCT(--(LEFT('8. Transfers'!$H$9:$H$108,7)=$A185),--('8. Transfers'!$J$9:$J$108="Matched"))+SUMPRODUCT(--(LEFT('8. Transfers'!$I$9:$I$108,7)=$A185),--('8. Transfers'!$J$9:$J$108="Matched"))+IF($O185="",0,COUNTIFS('9. Payroll Allocation'!$B$234:$B$253,$O185,'9. Payroll Allocation'!$H$234:$H$253,"Tied out"))&gt;0,"Linked","MISSING DETAIL")))</f>
        <v/>
      </c>
      <c r="T185" s="58" t="str">
        <f t="shared" si="25"/>
        <v/>
      </c>
      <c r="U185" s="59" t="str">
        <f>IF($T185="","",COUNTIF($T$6:$T185,"?*"))</f>
        <v/>
      </c>
      <c r="V185" s="58" t="str">
        <f t="shared" si="26"/>
        <v/>
      </c>
    </row>
    <row r="186" spans="1:22" ht="12.95" customHeight="1" x14ac:dyDescent="0.25">
      <c r="A186" s="52" t="str">
        <f t="shared" si="18"/>
        <v/>
      </c>
      <c r="B186" s="37"/>
      <c r="C186" s="28"/>
      <c r="D186" s="35"/>
      <c r="E186" s="38"/>
      <c r="F186" s="38"/>
      <c r="G186" s="52" t="str">
        <f t="shared" si="19"/>
        <v/>
      </c>
      <c r="H186" s="53" t="str">
        <f t="shared" si="20"/>
        <v/>
      </c>
      <c r="I186" s="40"/>
      <c r="J186" s="54" t="str">
        <f t="shared" si="21"/>
        <v/>
      </c>
      <c r="K186" s="41" t="str">
        <f t="shared" si="22"/>
        <v/>
      </c>
      <c r="L186" s="55"/>
      <c r="M186" s="56">
        <f t="shared" si="23"/>
        <v>0</v>
      </c>
      <c r="N186" s="56">
        <f t="shared" si="24"/>
        <v>0</v>
      </c>
      <c r="O186" s="57"/>
      <c r="P186" s="40"/>
      <c r="Q186" s="52" t="str">
        <f>IF($D186="","",IF($K186&lt;&gt;"Balance Sheet / Clearing","-",IF(SUMPRODUCT(--(LEFT('7. Settlements'!$J$8:$J$107,7)=$A186),--('7. Settlements'!$M$8:$M$107="Tied out"))+SUMPRODUCT(--(LEFT('8. Transfers'!$H$9:$H$108,7)=$A186),--('8. Transfers'!$J$9:$J$108="Matched"))+SUMPRODUCT(--(LEFT('8. Transfers'!$I$9:$I$108,7)=$A186),--('8. Transfers'!$J$9:$J$108="Matched"))+IF($O186="",0,COUNTIFS('9. Payroll Allocation'!$B$234:$B$253,$O186,'9. Payroll Allocation'!$H$234:$H$253,"Tied out"))&gt;0,"Linked","MISSING DETAIL")))</f>
        <v/>
      </c>
      <c r="T186" s="58" t="str">
        <f t="shared" si="25"/>
        <v/>
      </c>
      <c r="U186" s="59" t="str">
        <f>IF($T186="","",COUNTIF($T$6:$T186,"?*"))</f>
        <v/>
      </c>
      <c r="V186" s="58" t="str">
        <f t="shared" si="26"/>
        <v/>
      </c>
    </row>
    <row r="187" spans="1:22" ht="12.95" customHeight="1" x14ac:dyDescent="0.25">
      <c r="A187" s="60" t="str">
        <f t="shared" si="18"/>
        <v/>
      </c>
      <c r="B187" s="37"/>
      <c r="C187" s="28"/>
      <c r="D187" s="35"/>
      <c r="E187" s="38"/>
      <c r="F187" s="38"/>
      <c r="G187" s="60" t="str">
        <f t="shared" si="19"/>
        <v/>
      </c>
      <c r="H187" s="61" t="str">
        <f t="shared" si="20"/>
        <v/>
      </c>
      <c r="I187" s="40"/>
      <c r="J187" s="62" t="str">
        <f t="shared" si="21"/>
        <v/>
      </c>
      <c r="K187" s="45" t="str">
        <f t="shared" si="22"/>
        <v/>
      </c>
      <c r="L187" s="55"/>
      <c r="M187" s="63">
        <f t="shared" si="23"/>
        <v>0</v>
      </c>
      <c r="N187" s="63">
        <f t="shared" si="24"/>
        <v>0</v>
      </c>
      <c r="O187" s="57"/>
      <c r="P187" s="40"/>
      <c r="Q187" s="60" t="str">
        <f>IF($D187="","",IF($K187&lt;&gt;"Balance Sheet / Clearing","-",IF(SUMPRODUCT(--(LEFT('7. Settlements'!$J$8:$J$107,7)=$A187),--('7. Settlements'!$M$8:$M$107="Tied out"))+SUMPRODUCT(--(LEFT('8. Transfers'!$H$9:$H$108,7)=$A187),--('8. Transfers'!$J$9:$J$108="Matched"))+SUMPRODUCT(--(LEFT('8. Transfers'!$I$9:$I$108,7)=$A187),--('8. Transfers'!$J$9:$J$108="Matched"))+IF($O187="",0,COUNTIFS('9. Payroll Allocation'!$B$234:$B$253,$O187,'9. Payroll Allocation'!$H$234:$H$253,"Tied out"))&gt;0,"Linked","MISSING DETAIL")))</f>
        <v/>
      </c>
      <c r="T187" s="58" t="str">
        <f t="shared" si="25"/>
        <v/>
      </c>
      <c r="U187" s="59" t="str">
        <f>IF($T187="","",COUNTIF($T$6:$T187,"?*"))</f>
        <v/>
      </c>
      <c r="V187" s="58" t="str">
        <f t="shared" si="26"/>
        <v/>
      </c>
    </row>
    <row r="188" spans="1:22" ht="12.95" customHeight="1" x14ac:dyDescent="0.25">
      <c r="A188" s="52" t="str">
        <f t="shared" si="18"/>
        <v/>
      </c>
      <c r="B188" s="37"/>
      <c r="C188" s="28"/>
      <c r="D188" s="35"/>
      <c r="E188" s="38"/>
      <c r="F188" s="38"/>
      <c r="G188" s="52" t="str">
        <f t="shared" si="19"/>
        <v/>
      </c>
      <c r="H188" s="53" t="str">
        <f t="shared" si="20"/>
        <v/>
      </c>
      <c r="I188" s="40"/>
      <c r="J188" s="54" t="str">
        <f t="shared" si="21"/>
        <v/>
      </c>
      <c r="K188" s="41" t="str">
        <f t="shared" si="22"/>
        <v/>
      </c>
      <c r="L188" s="55"/>
      <c r="M188" s="56">
        <f t="shared" si="23"/>
        <v>0</v>
      </c>
      <c r="N188" s="56">
        <f t="shared" si="24"/>
        <v>0</v>
      </c>
      <c r="O188" s="57"/>
      <c r="P188" s="40"/>
      <c r="Q188" s="52" t="str">
        <f>IF($D188="","",IF($K188&lt;&gt;"Balance Sheet / Clearing","-",IF(SUMPRODUCT(--(LEFT('7. Settlements'!$J$8:$J$107,7)=$A188),--('7. Settlements'!$M$8:$M$107="Tied out"))+SUMPRODUCT(--(LEFT('8. Transfers'!$H$9:$H$108,7)=$A188),--('8. Transfers'!$J$9:$J$108="Matched"))+SUMPRODUCT(--(LEFT('8. Transfers'!$I$9:$I$108,7)=$A188),--('8. Transfers'!$J$9:$J$108="Matched"))+IF($O188="",0,COUNTIFS('9. Payroll Allocation'!$B$234:$B$253,$O188,'9. Payroll Allocation'!$H$234:$H$253,"Tied out"))&gt;0,"Linked","MISSING DETAIL")))</f>
        <v/>
      </c>
      <c r="T188" s="58" t="str">
        <f t="shared" si="25"/>
        <v/>
      </c>
      <c r="U188" s="59" t="str">
        <f>IF($T188="","",COUNTIF($T$6:$T188,"?*"))</f>
        <v/>
      </c>
      <c r="V188" s="58" t="str">
        <f t="shared" si="26"/>
        <v/>
      </c>
    </row>
    <row r="189" spans="1:22" ht="12.95" customHeight="1" x14ac:dyDescent="0.25">
      <c r="A189" s="60" t="str">
        <f t="shared" si="18"/>
        <v/>
      </c>
      <c r="B189" s="37"/>
      <c r="C189" s="28"/>
      <c r="D189" s="35"/>
      <c r="E189" s="38"/>
      <c r="F189" s="38"/>
      <c r="G189" s="60" t="str">
        <f t="shared" si="19"/>
        <v/>
      </c>
      <c r="H189" s="61" t="str">
        <f t="shared" si="20"/>
        <v/>
      </c>
      <c r="I189" s="40"/>
      <c r="J189" s="62" t="str">
        <f t="shared" si="21"/>
        <v/>
      </c>
      <c r="K189" s="45" t="str">
        <f t="shared" si="22"/>
        <v/>
      </c>
      <c r="L189" s="55"/>
      <c r="M189" s="63">
        <f t="shared" si="23"/>
        <v>0</v>
      </c>
      <c r="N189" s="63">
        <f t="shared" si="24"/>
        <v>0</v>
      </c>
      <c r="O189" s="57"/>
      <c r="P189" s="40"/>
      <c r="Q189" s="60" t="str">
        <f>IF($D189="","",IF($K189&lt;&gt;"Balance Sheet / Clearing","-",IF(SUMPRODUCT(--(LEFT('7. Settlements'!$J$8:$J$107,7)=$A189),--('7. Settlements'!$M$8:$M$107="Tied out"))+SUMPRODUCT(--(LEFT('8. Transfers'!$H$9:$H$108,7)=$A189),--('8. Transfers'!$J$9:$J$108="Matched"))+SUMPRODUCT(--(LEFT('8. Transfers'!$I$9:$I$108,7)=$A189),--('8. Transfers'!$J$9:$J$108="Matched"))+IF($O189="",0,COUNTIFS('9. Payroll Allocation'!$B$234:$B$253,$O189,'9. Payroll Allocation'!$H$234:$H$253,"Tied out"))&gt;0,"Linked","MISSING DETAIL")))</f>
        <v/>
      </c>
      <c r="T189" s="58" t="str">
        <f t="shared" si="25"/>
        <v/>
      </c>
      <c r="U189" s="59" t="str">
        <f>IF($T189="","",COUNTIF($T$6:$T189,"?*"))</f>
        <v/>
      </c>
      <c r="V189" s="58" t="str">
        <f t="shared" si="26"/>
        <v/>
      </c>
    </row>
    <row r="190" spans="1:22" ht="12.95" customHeight="1" x14ac:dyDescent="0.25">
      <c r="A190" s="52" t="str">
        <f t="shared" si="18"/>
        <v/>
      </c>
      <c r="B190" s="37"/>
      <c r="C190" s="28"/>
      <c r="D190" s="35"/>
      <c r="E190" s="38"/>
      <c r="F190" s="38"/>
      <c r="G190" s="52" t="str">
        <f t="shared" si="19"/>
        <v/>
      </c>
      <c r="H190" s="53" t="str">
        <f t="shared" si="20"/>
        <v/>
      </c>
      <c r="I190" s="40"/>
      <c r="J190" s="54" t="str">
        <f t="shared" si="21"/>
        <v/>
      </c>
      <c r="K190" s="41" t="str">
        <f t="shared" si="22"/>
        <v/>
      </c>
      <c r="L190" s="55"/>
      <c r="M190" s="56">
        <f t="shared" si="23"/>
        <v>0</v>
      </c>
      <c r="N190" s="56">
        <f t="shared" si="24"/>
        <v>0</v>
      </c>
      <c r="O190" s="57"/>
      <c r="P190" s="40"/>
      <c r="Q190" s="52" t="str">
        <f>IF($D190="","",IF($K190&lt;&gt;"Balance Sheet / Clearing","-",IF(SUMPRODUCT(--(LEFT('7. Settlements'!$J$8:$J$107,7)=$A190),--('7. Settlements'!$M$8:$M$107="Tied out"))+SUMPRODUCT(--(LEFT('8. Transfers'!$H$9:$H$108,7)=$A190),--('8. Transfers'!$J$9:$J$108="Matched"))+SUMPRODUCT(--(LEFT('8. Transfers'!$I$9:$I$108,7)=$A190),--('8. Transfers'!$J$9:$J$108="Matched"))+IF($O190="",0,COUNTIFS('9. Payroll Allocation'!$B$234:$B$253,$O190,'9. Payroll Allocation'!$H$234:$H$253,"Tied out"))&gt;0,"Linked","MISSING DETAIL")))</f>
        <v/>
      </c>
      <c r="T190" s="58" t="str">
        <f t="shared" si="25"/>
        <v/>
      </c>
      <c r="U190" s="59" t="str">
        <f>IF($T190="","",COUNTIF($T$6:$T190,"?*"))</f>
        <v/>
      </c>
      <c r="V190" s="58" t="str">
        <f t="shared" si="26"/>
        <v/>
      </c>
    </row>
    <row r="191" spans="1:22" ht="12.95" customHeight="1" x14ac:dyDescent="0.25">
      <c r="A191" s="60" t="str">
        <f t="shared" si="18"/>
        <v/>
      </c>
      <c r="B191" s="37"/>
      <c r="C191" s="28"/>
      <c r="D191" s="35"/>
      <c r="E191" s="38"/>
      <c r="F191" s="38"/>
      <c r="G191" s="60" t="str">
        <f t="shared" si="19"/>
        <v/>
      </c>
      <c r="H191" s="61" t="str">
        <f t="shared" si="20"/>
        <v/>
      </c>
      <c r="I191" s="40"/>
      <c r="J191" s="62" t="str">
        <f t="shared" si="21"/>
        <v/>
      </c>
      <c r="K191" s="45" t="str">
        <f t="shared" si="22"/>
        <v/>
      </c>
      <c r="L191" s="55"/>
      <c r="M191" s="63">
        <f t="shared" si="23"/>
        <v>0</v>
      </c>
      <c r="N191" s="63">
        <f t="shared" si="24"/>
        <v>0</v>
      </c>
      <c r="O191" s="57"/>
      <c r="P191" s="40"/>
      <c r="Q191" s="60" t="str">
        <f>IF($D191="","",IF($K191&lt;&gt;"Balance Sheet / Clearing","-",IF(SUMPRODUCT(--(LEFT('7. Settlements'!$J$8:$J$107,7)=$A191),--('7. Settlements'!$M$8:$M$107="Tied out"))+SUMPRODUCT(--(LEFT('8. Transfers'!$H$9:$H$108,7)=$A191),--('8. Transfers'!$J$9:$J$108="Matched"))+SUMPRODUCT(--(LEFT('8. Transfers'!$I$9:$I$108,7)=$A191),--('8. Transfers'!$J$9:$J$108="Matched"))+IF($O191="",0,COUNTIFS('9. Payroll Allocation'!$B$234:$B$253,$O191,'9. Payroll Allocation'!$H$234:$H$253,"Tied out"))&gt;0,"Linked","MISSING DETAIL")))</f>
        <v/>
      </c>
      <c r="T191" s="58" t="str">
        <f t="shared" si="25"/>
        <v/>
      </c>
      <c r="U191" s="59" t="str">
        <f>IF($T191="","",COUNTIF($T$6:$T191,"?*"))</f>
        <v/>
      </c>
      <c r="V191" s="58" t="str">
        <f t="shared" si="26"/>
        <v/>
      </c>
    </row>
    <row r="192" spans="1:22" ht="12.95" customHeight="1" x14ac:dyDescent="0.25">
      <c r="A192" s="52" t="str">
        <f t="shared" si="18"/>
        <v/>
      </c>
      <c r="B192" s="37"/>
      <c r="C192" s="28"/>
      <c r="D192" s="35"/>
      <c r="E192" s="38"/>
      <c r="F192" s="38"/>
      <c r="G192" s="52" t="str">
        <f t="shared" si="19"/>
        <v/>
      </c>
      <c r="H192" s="53" t="str">
        <f t="shared" si="20"/>
        <v/>
      </c>
      <c r="I192" s="40"/>
      <c r="J192" s="54" t="str">
        <f t="shared" si="21"/>
        <v/>
      </c>
      <c r="K192" s="41" t="str">
        <f t="shared" si="22"/>
        <v/>
      </c>
      <c r="L192" s="55"/>
      <c r="M192" s="56">
        <f t="shared" si="23"/>
        <v>0</v>
      </c>
      <c r="N192" s="56">
        <f t="shared" si="24"/>
        <v>0</v>
      </c>
      <c r="O192" s="57"/>
      <c r="P192" s="40"/>
      <c r="Q192" s="52" t="str">
        <f>IF($D192="","",IF($K192&lt;&gt;"Balance Sheet / Clearing","-",IF(SUMPRODUCT(--(LEFT('7. Settlements'!$J$8:$J$107,7)=$A192),--('7. Settlements'!$M$8:$M$107="Tied out"))+SUMPRODUCT(--(LEFT('8. Transfers'!$H$9:$H$108,7)=$A192),--('8. Transfers'!$J$9:$J$108="Matched"))+SUMPRODUCT(--(LEFT('8. Transfers'!$I$9:$I$108,7)=$A192),--('8. Transfers'!$J$9:$J$108="Matched"))+IF($O192="",0,COUNTIFS('9. Payroll Allocation'!$B$234:$B$253,$O192,'9. Payroll Allocation'!$H$234:$H$253,"Tied out"))&gt;0,"Linked","MISSING DETAIL")))</f>
        <v/>
      </c>
      <c r="T192" s="58" t="str">
        <f t="shared" si="25"/>
        <v/>
      </c>
      <c r="U192" s="59" t="str">
        <f>IF($T192="","",COUNTIF($T$6:$T192,"?*"))</f>
        <v/>
      </c>
      <c r="V192" s="58" t="str">
        <f t="shared" si="26"/>
        <v/>
      </c>
    </row>
    <row r="193" spans="1:22" ht="12.95" customHeight="1" x14ac:dyDescent="0.25">
      <c r="A193" s="60" t="str">
        <f t="shared" si="18"/>
        <v/>
      </c>
      <c r="B193" s="37"/>
      <c r="C193" s="28"/>
      <c r="D193" s="35"/>
      <c r="E193" s="38"/>
      <c r="F193" s="38"/>
      <c r="G193" s="60" t="str">
        <f t="shared" si="19"/>
        <v/>
      </c>
      <c r="H193" s="61" t="str">
        <f t="shared" si="20"/>
        <v/>
      </c>
      <c r="I193" s="40"/>
      <c r="J193" s="62" t="str">
        <f t="shared" si="21"/>
        <v/>
      </c>
      <c r="K193" s="45" t="str">
        <f t="shared" si="22"/>
        <v/>
      </c>
      <c r="L193" s="55"/>
      <c r="M193" s="63">
        <f t="shared" si="23"/>
        <v>0</v>
      </c>
      <c r="N193" s="63">
        <f t="shared" si="24"/>
        <v>0</v>
      </c>
      <c r="O193" s="57"/>
      <c r="P193" s="40"/>
      <c r="Q193" s="60" t="str">
        <f>IF($D193="","",IF($K193&lt;&gt;"Balance Sheet / Clearing","-",IF(SUMPRODUCT(--(LEFT('7. Settlements'!$J$8:$J$107,7)=$A193),--('7. Settlements'!$M$8:$M$107="Tied out"))+SUMPRODUCT(--(LEFT('8. Transfers'!$H$9:$H$108,7)=$A193),--('8. Transfers'!$J$9:$J$108="Matched"))+SUMPRODUCT(--(LEFT('8. Transfers'!$I$9:$I$108,7)=$A193),--('8. Transfers'!$J$9:$J$108="Matched"))+IF($O193="",0,COUNTIFS('9. Payroll Allocation'!$B$234:$B$253,$O193,'9. Payroll Allocation'!$H$234:$H$253,"Tied out"))&gt;0,"Linked","MISSING DETAIL")))</f>
        <v/>
      </c>
      <c r="T193" s="58" t="str">
        <f t="shared" si="25"/>
        <v/>
      </c>
      <c r="U193" s="59" t="str">
        <f>IF($T193="","",COUNTIF($T$6:$T193,"?*"))</f>
        <v/>
      </c>
      <c r="V193" s="58" t="str">
        <f t="shared" si="26"/>
        <v/>
      </c>
    </row>
    <row r="194" spans="1:22" ht="12.95" customHeight="1" x14ac:dyDescent="0.25">
      <c r="A194" s="52" t="str">
        <f t="shared" si="18"/>
        <v/>
      </c>
      <c r="B194" s="37"/>
      <c r="C194" s="28"/>
      <c r="D194" s="35"/>
      <c r="E194" s="38"/>
      <c r="F194" s="38"/>
      <c r="G194" s="52" t="str">
        <f t="shared" si="19"/>
        <v/>
      </c>
      <c r="H194" s="53" t="str">
        <f t="shared" si="20"/>
        <v/>
      </c>
      <c r="I194" s="40"/>
      <c r="J194" s="54" t="str">
        <f t="shared" si="21"/>
        <v/>
      </c>
      <c r="K194" s="41" t="str">
        <f t="shared" si="22"/>
        <v/>
      </c>
      <c r="L194" s="55"/>
      <c r="M194" s="56">
        <f t="shared" si="23"/>
        <v>0</v>
      </c>
      <c r="N194" s="56">
        <f t="shared" si="24"/>
        <v>0</v>
      </c>
      <c r="O194" s="57"/>
      <c r="P194" s="40"/>
      <c r="Q194" s="52" t="str">
        <f>IF($D194="","",IF($K194&lt;&gt;"Balance Sheet / Clearing","-",IF(SUMPRODUCT(--(LEFT('7. Settlements'!$J$8:$J$107,7)=$A194),--('7. Settlements'!$M$8:$M$107="Tied out"))+SUMPRODUCT(--(LEFT('8. Transfers'!$H$9:$H$108,7)=$A194),--('8. Transfers'!$J$9:$J$108="Matched"))+SUMPRODUCT(--(LEFT('8. Transfers'!$I$9:$I$108,7)=$A194),--('8. Transfers'!$J$9:$J$108="Matched"))+IF($O194="",0,COUNTIFS('9. Payroll Allocation'!$B$234:$B$253,$O194,'9. Payroll Allocation'!$H$234:$H$253,"Tied out"))&gt;0,"Linked","MISSING DETAIL")))</f>
        <v/>
      </c>
      <c r="T194" s="58" t="str">
        <f t="shared" si="25"/>
        <v/>
      </c>
      <c r="U194" s="59" t="str">
        <f>IF($T194="","",COUNTIF($T$6:$T194,"?*"))</f>
        <v/>
      </c>
      <c r="V194" s="58" t="str">
        <f t="shared" si="26"/>
        <v/>
      </c>
    </row>
    <row r="195" spans="1:22" ht="12.95" customHeight="1" x14ac:dyDescent="0.25">
      <c r="A195" s="60" t="str">
        <f t="shared" si="18"/>
        <v/>
      </c>
      <c r="B195" s="37"/>
      <c r="C195" s="28"/>
      <c r="D195" s="35"/>
      <c r="E195" s="38"/>
      <c r="F195" s="38"/>
      <c r="G195" s="60" t="str">
        <f t="shared" si="19"/>
        <v/>
      </c>
      <c r="H195" s="61" t="str">
        <f t="shared" si="20"/>
        <v/>
      </c>
      <c r="I195" s="40"/>
      <c r="J195" s="62" t="str">
        <f t="shared" si="21"/>
        <v/>
      </c>
      <c r="K195" s="45" t="str">
        <f t="shared" si="22"/>
        <v/>
      </c>
      <c r="L195" s="55"/>
      <c r="M195" s="63">
        <f t="shared" si="23"/>
        <v>0</v>
      </c>
      <c r="N195" s="63">
        <f t="shared" si="24"/>
        <v>0</v>
      </c>
      <c r="O195" s="57"/>
      <c r="P195" s="40"/>
      <c r="Q195" s="60" t="str">
        <f>IF($D195="","",IF($K195&lt;&gt;"Balance Sheet / Clearing","-",IF(SUMPRODUCT(--(LEFT('7. Settlements'!$J$8:$J$107,7)=$A195),--('7. Settlements'!$M$8:$M$107="Tied out"))+SUMPRODUCT(--(LEFT('8. Transfers'!$H$9:$H$108,7)=$A195),--('8. Transfers'!$J$9:$J$108="Matched"))+SUMPRODUCT(--(LEFT('8. Transfers'!$I$9:$I$108,7)=$A195),--('8. Transfers'!$J$9:$J$108="Matched"))+IF($O195="",0,COUNTIFS('9. Payroll Allocation'!$B$234:$B$253,$O195,'9. Payroll Allocation'!$H$234:$H$253,"Tied out"))&gt;0,"Linked","MISSING DETAIL")))</f>
        <v/>
      </c>
      <c r="T195" s="58" t="str">
        <f t="shared" si="25"/>
        <v/>
      </c>
      <c r="U195" s="59" t="str">
        <f>IF($T195="","",COUNTIF($T$6:$T195,"?*"))</f>
        <v/>
      </c>
      <c r="V195" s="58" t="str">
        <f t="shared" si="26"/>
        <v/>
      </c>
    </row>
    <row r="196" spans="1:22" ht="12.95" customHeight="1" x14ac:dyDescent="0.25">
      <c r="A196" s="52" t="str">
        <f t="shared" si="18"/>
        <v/>
      </c>
      <c r="B196" s="37"/>
      <c r="C196" s="28"/>
      <c r="D196" s="35"/>
      <c r="E196" s="38"/>
      <c r="F196" s="38"/>
      <c r="G196" s="52" t="str">
        <f t="shared" si="19"/>
        <v/>
      </c>
      <c r="H196" s="53" t="str">
        <f t="shared" si="20"/>
        <v/>
      </c>
      <c r="I196" s="40"/>
      <c r="J196" s="54" t="str">
        <f t="shared" si="21"/>
        <v/>
      </c>
      <c r="K196" s="41" t="str">
        <f t="shared" si="22"/>
        <v/>
      </c>
      <c r="L196" s="55"/>
      <c r="M196" s="56">
        <f t="shared" si="23"/>
        <v>0</v>
      </c>
      <c r="N196" s="56">
        <f t="shared" si="24"/>
        <v>0</v>
      </c>
      <c r="O196" s="57"/>
      <c r="P196" s="40"/>
      <c r="Q196" s="52" t="str">
        <f>IF($D196="","",IF($K196&lt;&gt;"Balance Sheet / Clearing","-",IF(SUMPRODUCT(--(LEFT('7. Settlements'!$J$8:$J$107,7)=$A196),--('7. Settlements'!$M$8:$M$107="Tied out"))+SUMPRODUCT(--(LEFT('8. Transfers'!$H$9:$H$108,7)=$A196),--('8. Transfers'!$J$9:$J$108="Matched"))+SUMPRODUCT(--(LEFT('8. Transfers'!$I$9:$I$108,7)=$A196),--('8. Transfers'!$J$9:$J$108="Matched"))+IF($O196="",0,COUNTIFS('9. Payroll Allocation'!$B$234:$B$253,$O196,'9. Payroll Allocation'!$H$234:$H$253,"Tied out"))&gt;0,"Linked","MISSING DETAIL")))</f>
        <v/>
      </c>
      <c r="T196" s="58" t="str">
        <f t="shared" si="25"/>
        <v/>
      </c>
      <c r="U196" s="59" t="str">
        <f>IF($T196="","",COUNTIF($T$6:$T196,"?*"))</f>
        <v/>
      </c>
      <c r="V196" s="58" t="str">
        <f t="shared" si="26"/>
        <v/>
      </c>
    </row>
    <row r="197" spans="1:22" ht="12.95" customHeight="1" x14ac:dyDescent="0.25">
      <c r="A197" s="60" t="str">
        <f t="shared" si="18"/>
        <v/>
      </c>
      <c r="B197" s="37"/>
      <c r="C197" s="28"/>
      <c r="D197" s="35"/>
      <c r="E197" s="38"/>
      <c r="F197" s="38"/>
      <c r="G197" s="60" t="str">
        <f t="shared" si="19"/>
        <v/>
      </c>
      <c r="H197" s="61" t="str">
        <f t="shared" si="20"/>
        <v/>
      </c>
      <c r="I197" s="40"/>
      <c r="J197" s="62" t="str">
        <f t="shared" si="21"/>
        <v/>
      </c>
      <c r="K197" s="45" t="str">
        <f t="shared" si="22"/>
        <v/>
      </c>
      <c r="L197" s="55"/>
      <c r="M197" s="63">
        <f t="shared" si="23"/>
        <v>0</v>
      </c>
      <c r="N197" s="63">
        <f t="shared" si="24"/>
        <v>0</v>
      </c>
      <c r="O197" s="57"/>
      <c r="P197" s="40"/>
      <c r="Q197" s="60" t="str">
        <f>IF($D197="","",IF($K197&lt;&gt;"Balance Sheet / Clearing","-",IF(SUMPRODUCT(--(LEFT('7. Settlements'!$J$8:$J$107,7)=$A197),--('7. Settlements'!$M$8:$M$107="Tied out"))+SUMPRODUCT(--(LEFT('8. Transfers'!$H$9:$H$108,7)=$A197),--('8. Transfers'!$J$9:$J$108="Matched"))+SUMPRODUCT(--(LEFT('8. Transfers'!$I$9:$I$108,7)=$A197),--('8. Transfers'!$J$9:$J$108="Matched"))+IF($O197="",0,COUNTIFS('9. Payroll Allocation'!$B$234:$B$253,$O197,'9. Payroll Allocation'!$H$234:$H$253,"Tied out"))&gt;0,"Linked","MISSING DETAIL")))</f>
        <v/>
      </c>
      <c r="T197" s="58" t="str">
        <f t="shared" si="25"/>
        <v/>
      </c>
      <c r="U197" s="59" t="str">
        <f>IF($T197="","",COUNTIF($T$6:$T197,"?*"))</f>
        <v/>
      </c>
      <c r="V197" s="58" t="str">
        <f t="shared" si="26"/>
        <v/>
      </c>
    </row>
    <row r="198" spans="1:22" ht="12.95" customHeight="1" x14ac:dyDescent="0.25">
      <c r="A198" s="52" t="str">
        <f t="shared" ref="A198:A261" si="27">IF($D198="","","TX-"&amp;TEXT(ROW()-5,"0000"))</f>
        <v/>
      </c>
      <c r="B198" s="37"/>
      <c r="C198" s="28"/>
      <c r="D198" s="35"/>
      <c r="E198" s="38"/>
      <c r="F198" s="38"/>
      <c r="G198" s="52" t="str">
        <f t="shared" ref="G198:G261" si="28">IF($D198="","",IFERROR(_xlfn.AGGREGATE(15,6,Rules_Pri/((ISNUMBER(SEARCH(Rules_Key,$D198)))*(Rules_Key&lt;&gt;"")*(Rules_Active="Yes")*((Rules_Dir="Any")+(Rules_Dir=IF(N($E198)&gt;0,"In","Out")))),1),""))</f>
        <v/>
      </c>
      <c r="H198" s="53" t="str">
        <f t="shared" ref="H198:H261" si="29">IF($D198="","",IF($G198="",IF(N($E198)&gt;0,"Uncategorized Deposit - NEEDS REVIEW","Uncategorized - NEEDS REVIEW"),INDEX(Rules_Cat,MATCH(1,INDEX(((ISNUMBER(SEARCH(Rules_Key,$D198)))*(Rules_Key&lt;&gt;"")*(Rules_Active="Yes")*((Rules_Dir="Any")+(Rules_Dir=IF(N($E198)&gt;0,"In","Out"))))*(Rules_Pri=$G198),0),0))))</f>
        <v/>
      </c>
      <c r="I198" s="40"/>
      <c r="J198" s="54" t="str">
        <f t="shared" ref="J198:J261" si="30">IF($D198="","",IF($I198&lt;&gt;"",$I198,$H198))</f>
        <v/>
      </c>
      <c r="K198" s="41" t="str">
        <f t="shared" ref="K198:K261" si="31">IF($J198="","",IFERROR(INDEX(Cat_Treatment,MATCH($J198,Cat_Name,0)),"Review Required"))</f>
        <v/>
      </c>
      <c r="L198" s="55"/>
      <c r="M198" s="56">
        <f t="shared" ref="M198:M261" si="32">IF($K198&lt;&gt;"Operating Expense",0,IF(AND($L198&lt;&gt;"",OR(N($L198)&lt;0,N($L198)&gt;1)),0,ROUND(N($F198)*IF($L198="",1,$L198),2)))</f>
        <v>0</v>
      </c>
      <c r="N198" s="56">
        <f t="shared" ref="N198:N261" si="33">IF($K198="Operating Revenue",ROUND(N($E198)-N($F198),2),0)</f>
        <v>0</v>
      </c>
      <c r="O198" s="57"/>
      <c r="P198" s="40"/>
      <c r="Q198" s="52" t="str">
        <f>IF($D198="","",IF($K198&lt;&gt;"Balance Sheet / Clearing","-",IF(SUMPRODUCT(--(LEFT('7. Settlements'!$J$8:$J$107,7)=$A198),--('7. Settlements'!$M$8:$M$107="Tied out"))+SUMPRODUCT(--(LEFT('8. Transfers'!$H$9:$H$108,7)=$A198),--('8. Transfers'!$J$9:$J$108="Matched"))+SUMPRODUCT(--(LEFT('8. Transfers'!$I$9:$I$108,7)=$A198),--('8. Transfers'!$J$9:$J$108="Matched"))+IF($O198="",0,COUNTIFS('9. Payroll Allocation'!$B$234:$B$253,$O198,'9. Payroll Allocation'!$H$234:$H$253,"Tied out"))&gt;0,"Linked","MISSING DETAIL")))</f>
        <v/>
      </c>
      <c r="T198" s="58" t="str">
        <f t="shared" ref="T198:T261" si="34">IF(OR($D198="",$K198&lt;&gt;"Balance Sheet / Clearing"),"",$A198&amp;" · "&amp;TEXT($B198,"mm/dd")&amp;" · "&amp;LEFT($D198,24)&amp;" · "&amp;TEXT(N($E198)+N($F198),"#,##0.00"))</f>
        <v/>
      </c>
      <c r="U198" s="59" t="str">
        <f>IF($T198="","",COUNTIF($T$6:$T198,"?*"))</f>
        <v/>
      </c>
      <c r="V198" s="58" t="str">
        <f t="shared" ref="V198:V261" si="35">IFERROR(INDEX($T$6:$T$1005,MATCH(ROW()-5,$U$6:$U$1005,0)),"")</f>
        <v/>
      </c>
    </row>
    <row r="199" spans="1:22" ht="12.95" customHeight="1" x14ac:dyDescent="0.25">
      <c r="A199" s="60" t="str">
        <f t="shared" si="27"/>
        <v/>
      </c>
      <c r="B199" s="37"/>
      <c r="C199" s="28"/>
      <c r="D199" s="35"/>
      <c r="E199" s="38"/>
      <c r="F199" s="38"/>
      <c r="G199" s="60" t="str">
        <f t="shared" si="28"/>
        <v/>
      </c>
      <c r="H199" s="61" t="str">
        <f t="shared" si="29"/>
        <v/>
      </c>
      <c r="I199" s="40"/>
      <c r="J199" s="62" t="str">
        <f t="shared" si="30"/>
        <v/>
      </c>
      <c r="K199" s="45" t="str">
        <f t="shared" si="31"/>
        <v/>
      </c>
      <c r="L199" s="55"/>
      <c r="M199" s="63">
        <f t="shared" si="32"/>
        <v>0</v>
      </c>
      <c r="N199" s="63">
        <f t="shared" si="33"/>
        <v>0</v>
      </c>
      <c r="O199" s="57"/>
      <c r="P199" s="40"/>
      <c r="Q199" s="60" t="str">
        <f>IF($D199="","",IF($K199&lt;&gt;"Balance Sheet / Clearing","-",IF(SUMPRODUCT(--(LEFT('7. Settlements'!$J$8:$J$107,7)=$A199),--('7. Settlements'!$M$8:$M$107="Tied out"))+SUMPRODUCT(--(LEFT('8. Transfers'!$H$9:$H$108,7)=$A199),--('8. Transfers'!$J$9:$J$108="Matched"))+SUMPRODUCT(--(LEFT('8. Transfers'!$I$9:$I$108,7)=$A199),--('8. Transfers'!$J$9:$J$108="Matched"))+IF($O199="",0,COUNTIFS('9. Payroll Allocation'!$B$234:$B$253,$O199,'9. Payroll Allocation'!$H$234:$H$253,"Tied out"))&gt;0,"Linked","MISSING DETAIL")))</f>
        <v/>
      </c>
      <c r="T199" s="58" t="str">
        <f t="shared" si="34"/>
        <v/>
      </c>
      <c r="U199" s="59" t="str">
        <f>IF($T199="","",COUNTIF($T$6:$T199,"?*"))</f>
        <v/>
      </c>
      <c r="V199" s="58" t="str">
        <f t="shared" si="35"/>
        <v/>
      </c>
    </row>
    <row r="200" spans="1:22" ht="12.95" customHeight="1" x14ac:dyDescent="0.25">
      <c r="A200" s="52" t="str">
        <f t="shared" si="27"/>
        <v/>
      </c>
      <c r="B200" s="37"/>
      <c r="C200" s="28"/>
      <c r="D200" s="35"/>
      <c r="E200" s="38"/>
      <c r="F200" s="38"/>
      <c r="G200" s="52" t="str">
        <f t="shared" si="28"/>
        <v/>
      </c>
      <c r="H200" s="53" t="str">
        <f t="shared" si="29"/>
        <v/>
      </c>
      <c r="I200" s="40"/>
      <c r="J200" s="54" t="str">
        <f t="shared" si="30"/>
        <v/>
      </c>
      <c r="K200" s="41" t="str">
        <f t="shared" si="31"/>
        <v/>
      </c>
      <c r="L200" s="55"/>
      <c r="M200" s="56">
        <f t="shared" si="32"/>
        <v>0</v>
      </c>
      <c r="N200" s="56">
        <f t="shared" si="33"/>
        <v>0</v>
      </c>
      <c r="O200" s="57"/>
      <c r="P200" s="40"/>
      <c r="Q200" s="52" t="str">
        <f>IF($D200="","",IF($K200&lt;&gt;"Balance Sheet / Clearing","-",IF(SUMPRODUCT(--(LEFT('7. Settlements'!$J$8:$J$107,7)=$A200),--('7. Settlements'!$M$8:$M$107="Tied out"))+SUMPRODUCT(--(LEFT('8. Transfers'!$H$9:$H$108,7)=$A200),--('8. Transfers'!$J$9:$J$108="Matched"))+SUMPRODUCT(--(LEFT('8. Transfers'!$I$9:$I$108,7)=$A200),--('8. Transfers'!$J$9:$J$108="Matched"))+IF($O200="",0,COUNTIFS('9. Payroll Allocation'!$B$234:$B$253,$O200,'9. Payroll Allocation'!$H$234:$H$253,"Tied out"))&gt;0,"Linked","MISSING DETAIL")))</f>
        <v/>
      </c>
      <c r="T200" s="58" t="str">
        <f t="shared" si="34"/>
        <v/>
      </c>
      <c r="U200" s="59" t="str">
        <f>IF($T200="","",COUNTIF($T$6:$T200,"?*"))</f>
        <v/>
      </c>
      <c r="V200" s="58" t="str">
        <f t="shared" si="35"/>
        <v/>
      </c>
    </row>
    <row r="201" spans="1:22" ht="12.95" customHeight="1" x14ac:dyDescent="0.25">
      <c r="A201" s="60" t="str">
        <f t="shared" si="27"/>
        <v/>
      </c>
      <c r="B201" s="37"/>
      <c r="C201" s="28"/>
      <c r="D201" s="35"/>
      <c r="E201" s="38"/>
      <c r="F201" s="38"/>
      <c r="G201" s="60" t="str">
        <f t="shared" si="28"/>
        <v/>
      </c>
      <c r="H201" s="61" t="str">
        <f t="shared" si="29"/>
        <v/>
      </c>
      <c r="I201" s="40"/>
      <c r="J201" s="62" t="str">
        <f t="shared" si="30"/>
        <v/>
      </c>
      <c r="K201" s="45" t="str">
        <f t="shared" si="31"/>
        <v/>
      </c>
      <c r="L201" s="55"/>
      <c r="M201" s="63">
        <f t="shared" si="32"/>
        <v>0</v>
      </c>
      <c r="N201" s="63">
        <f t="shared" si="33"/>
        <v>0</v>
      </c>
      <c r="O201" s="57"/>
      <c r="P201" s="40"/>
      <c r="Q201" s="60" t="str">
        <f>IF($D201="","",IF($K201&lt;&gt;"Balance Sheet / Clearing","-",IF(SUMPRODUCT(--(LEFT('7. Settlements'!$J$8:$J$107,7)=$A201),--('7. Settlements'!$M$8:$M$107="Tied out"))+SUMPRODUCT(--(LEFT('8. Transfers'!$H$9:$H$108,7)=$A201),--('8. Transfers'!$J$9:$J$108="Matched"))+SUMPRODUCT(--(LEFT('8. Transfers'!$I$9:$I$108,7)=$A201),--('8. Transfers'!$J$9:$J$108="Matched"))+IF($O201="",0,COUNTIFS('9. Payroll Allocation'!$B$234:$B$253,$O201,'9. Payroll Allocation'!$H$234:$H$253,"Tied out"))&gt;0,"Linked","MISSING DETAIL")))</f>
        <v/>
      </c>
      <c r="T201" s="58" t="str">
        <f t="shared" si="34"/>
        <v/>
      </c>
      <c r="U201" s="59" t="str">
        <f>IF($T201="","",COUNTIF($T$6:$T201,"?*"))</f>
        <v/>
      </c>
      <c r="V201" s="58" t="str">
        <f t="shared" si="35"/>
        <v/>
      </c>
    </row>
    <row r="202" spans="1:22" ht="12.95" customHeight="1" x14ac:dyDescent="0.25">
      <c r="A202" s="52" t="str">
        <f t="shared" si="27"/>
        <v/>
      </c>
      <c r="B202" s="37"/>
      <c r="C202" s="28"/>
      <c r="D202" s="35"/>
      <c r="E202" s="38"/>
      <c r="F202" s="38"/>
      <c r="G202" s="52" t="str">
        <f t="shared" si="28"/>
        <v/>
      </c>
      <c r="H202" s="53" t="str">
        <f t="shared" si="29"/>
        <v/>
      </c>
      <c r="I202" s="40"/>
      <c r="J202" s="54" t="str">
        <f t="shared" si="30"/>
        <v/>
      </c>
      <c r="K202" s="41" t="str">
        <f t="shared" si="31"/>
        <v/>
      </c>
      <c r="L202" s="55"/>
      <c r="M202" s="56">
        <f t="shared" si="32"/>
        <v>0</v>
      </c>
      <c r="N202" s="56">
        <f t="shared" si="33"/>
        <v>0</v>
      </c>
      <c r="O202" s="57"/>
      <c r="P202" s="40"/>
      <c r="Q202" s="52" t="str">
        <f>IF($D202="","",IF($K202&lt;&gt;"Balance Sheet / Clearing","-",IF(SUMPRODUCT(--(LEFT('7. Settlements'!$J$8:$J$107,7)=$A202),--('7. Settlements'!$M$8:$M$107="Tied out"))+SUMPRODUCT(--(LEFT('8. Transfers'!$H$9:$H$108,7)=$A202),--('8. Transfers'!$J$9:$J$108="Matched"))+SUMPRODUCT(--(LEFT('8. Transfers'!$I$9:$I$108,7)=$A202),--('8. Transfers'!$J$9:$J$108="Matched"))+IF($O202="",0,COUNTIFS('9. Payroll Allocation'!$B$234:$B$253,$O202,'9. Payroll Allocation'!$H$234:$H$253,"Tied out"))&gt;0,"Linked","MISSING DETAIL")))</f>
        <v/>
      </c>
      <c r="T202" s="58" t="str">
        <f t="shared" si="34"/>
        <v/>
      </c>
      <c r="U202" s="59" t="str">
        <f>IF($T202="","",COUNTIF($T$6:$T202,"?*"))</f>
        <v/>
      </c>
      <c r="V202" s="58" t="str">
        <f t="shared" si="35"/>
        <v/>
      </c>
    </row>
    <row r="203" spans="1:22" ht="12.95" customHeight="1" x14ac:dyDescent="0.25">
      <c r="A203" s="60" t="str">
        <f t="shared" si="27"/>
        <v/>
      </c>
      <c r="B203" s="37"/>
      <c r="C203" s="28"/>
      <c r="D203" s="35"/>
      <c r="E203" s="38"/>
      <c r="F203" s="38"/>
      <c r="G203" s="60" t="str">
        <f t="shared" si="28"/>
        <v/>
      </c>
      <c r="H203" s="61" t="str">
        <f t="shared" si="29"/>
        <v/>
      </c>
      <c r="I203" s="40"/>
      <c r="J203" s="62" t="str">
        <f t="shared" si="30"/>
        <v/>
      </c>
      <c r="K203" s="45" t="str">
        <f t="shared" si="31"/>
        <v/>
      </c>
      <c r="L203" s="55"/>
      <c r="M203" s="63">
        <f t="shared" si="32"/>
        <v>0</v>
      </c>
      <c r="N203" s="63">
        <f t="shared" si="33"/>
        <v>0</v>
      </c>
      <c r="O203" s="57"/>
      <c r="P203" s="40"/>
      <c r="Q203" s="60" t="str">
        <f>IF($D203="","",IF($K203&lt;&gt;"Balance Sheet / Clearing","-",IF(SUMPRODUCT(--(LEFT('7. Settlements'!$J$8:$J$107,7)=$A203),--('7. Settlements'!$M$8:$M$107="Tied out"))+SUMPRODUCT(--(LEFT('8. Transfers'!$H$9:$H$108,7)=$A203),--('8. Transfers'!$J$9:$J$108="Matched"))+SUMPRODUCT(--(LEFT('8. Transfers'!$I$9:$I$108,7)=$A203),--('8. Transfers'!$J$9:$J$108="Matched"))+IF($O203="",0,COUNTIFS('9. Payroll Allocation'!$B$234:$B$253,$O203,'9. Payroll Allocation'!$H$234:$H$253,"Tied out"))&gt;0,"Linked","MISSING DETAIL")))</f>
        <v/>
      </c>
      <c r="T203" s="58" t="str">
        <f t="shared" si="34"/>
        <v/>
      </c>
      <c r="U203" s="59" t="str">
        <f>IF($T203="","",COUNTIF($T$6:$T203,"?*"))</f>
        <v/>
      </c>
      <c r="V203" s="58" t="str">
        <f t="shared" si="35"/>
        <v/>
      </c>
    </row>
    <row r="204" spans="1:22" ht="12.95" customHeight="1" x14ac:dyDescent="0.25">
      <c r="A204" s="52" t="str">
        <f t="shared" si="27"/>
        <v/>
      </c>
      <c r="B204" s="37"/>
      <c r="C204" s="28"/>
      <c r="D204" s="35"/>
      <c r="E204" s="38"/>
      <c r="F204" s="38"/>
      <c r="G204" s="52" t="str">
        <f t="shared" si="28"/>
        <v/>
      </c>
      <c r="H204" s="53" t="str">
        <f t="shared" si="29"/>
        <v/>
      </c>
      <c r="I204" s="40"/>
      <c r="J204" s="54" t="str">
        <f t="shared" si="30"/>
        <v/>
      </c>
      <c r="K204" s="41" t="str">
        <f t="shared" si="31"/>
        <v/>
      </c>
      <c r="L204" s="55"/>
      <c r="M204" s="56">
        <f t="shared" si="32"/>
        <v>0</v>
      </c>
      <c r="N204" s="56">
        <f t="shared" si="33"/>
        <v>0</v>
      </c>
      <c r="O204" s="57"/>
      <c r="P204" s="40"/>
      <c r="Q204" s="52" t="str">
        <f>IF($D204="","",IF($K204&lt;&gt;"Balance Sheet / Clearing","-",IF(SUMPRODUCT(--(LEFT('7. Settlements'!$J$8:$J$107,7)=$A204),--('7. Settlements'!$M$8:$M$107="Tied out"))+SUMPRODUCT(--(LEFT('8. Transfers'!$H$9:$H$108,7)=$A204),--('8. Transfers'!$J$9:$J$108="Matched"))+SUMPRODUCT(--(LEFT('8. Transfers'!$I$9:$I$108,7)=$A204),--('8. Transfers'!$J$9:$J$108="Matched"))+IF($O204="",0,COUNTIFS('9. Payroll Allocation'!$B$234:$B$253,$O204,'9. Payroll Allocation'!$H$234:$H$253,"Tied out"))&gt;0,"Linked","MISSING DETAIL")))</f>
        <v/>
      </c>
      <c r="T204" s="58" t="str">
        <f t="shared" si="34"/>
        <v/>
      </c>
      <c r="U204" s="59" t="str">
        <f>IF($T204="","",COUNTIF($T$6:$T204,"?*"))</f>
        <v/>
      </c>
      <c r="V204" s="58" t="str">
        <f t="shared" si="35"/>
        <v/>
      </c>
    </row>
    <row r="205" spans="1:22" ht="12.95" customHeight="1" x14ac:dyDescent="0.25">
      <c r="A205" s="60" t="str">
        <f t="shared" si="27"/>
        <v/>
      </c>
      <c r="B205" s="37"/>
      <c r="C205" s="28"/>
      <c r="D205" s="35"/>
      <c r="E205" s="38"/>
      <c r="F205" s="38"/>
      <c r="G205" s="60" t="str">
        <f t="shared" si="28"/>
        <v/>
      </c>
      <c r="H205" s="61" t="str">
        <f t="shared" si="29"/>
        <v/>
      </c>
      <c r="I205" s="40"/>
      <c r="J205" s="62" t="str">
        <f t="shared" si="30"/>
        <v/>
      </c>
      <c r="K205" s="45" t="str">
        <f t="shared" si="31"/>
        <v/>
      </c>
      <c r="L205" s="55"/>
      <c r="M205" s="63">
        <f t="shared" si="32"/>
        <v>0</v>
      </c>
      <c r="N205" s="63">
        <f t="shared" si="33"/>
        <v>0</v>
      </c>
      <c r="O205" s="57"/>
      <c r="P205" s="40"/>
      <c r="Q205" s="60" t="str">
        <f>IF($D205="","",IF($K205&lt;&gt;"Balance Sheet / Clearing","-",IF(SUMPRODUCT(--(LEFT('7. Settlements'!$J$8:$J$107,7)=$A205),--('7. Settlements'!$M$8:$M$107="Tied out"))+SUMPRODUCT(--(LEFT('8. Transfers'!$H$9:$H$108,7)=$A205),--('8. Transfers'!$J$9:$J$108="Matched"))+SUMPRODUCT(--(LEFT('8. Transfers'!$I$9:$I$108,7)=$A205),--('8. Transfers'!$J$9:$J$108="Matched"))+IF($O205="",0,COUNTIFS('9. Payroll Allocation'!$B$234:$B$253,$O205,'9. Payroll Allocation'!$H$234:$H$253,"Tied out"))&gt;0,"Linked","MISSING DETAIL")))</f>
        <v/>
      </c>
      <c r="T205" s="58" t="str">
        <f t="shared" si="34"/>
        <v/>
      </c>
      <c r="U205" s="59" t="str">
        <f>IF($T205="","",COUNTIF($T$6:$T205,"?*"))</f>
        <v/>
      </c>
      <c r="V205" s="58" t="str">
        <f t="shared" si="35"/>
        <v/>
      </c>
    </row>
    <row r="206" spans="1:22" ht="12.95" customHeight="1" x14ac:dyDescent="0.25">
      <c r="A206" s="52" t="str">
        <f t="shared" si="27"/>
        <v/>
      </c>
      <c r="B206" s="37"/>
      <c r="C206" s="28"/>
      <c r="D206" s="35"/>
      <c r="E206" s="38"/>
      <c r="F206" s="38"/>
      <c r="G206" s="52" t="str">
        <f t="shared" si="28"/>
        <v/>
      </c>
      <c r="H206" s="53" t="str">
        <f t="shared" si="29"/>
        <v/>
      </c>
      <c r="I206" s="40"/>
      <c r="J206" s="54" t="str">
        <f t="shared" si="30"/>
        <v/>
      </c>
      <c r="K206" s="41" t="str">
        <f t="shared" si="31"/>
        <v/>
      </c>
      <c r="L206" s="55"/>
      <c r="M206" s="56">
        <f t="shared" si="32"/>
        <v>0</v>
      </c>
      <c r="N206" s="56">
        <f t="shared" si="33"/>
        <v>0</v>
      </c>
      <c r="O206" s="57"/>
      <c r="P206" s="40"/>
      <c r="Q206" s="52" t="str">
        <f>IF($D206="","",IF($K206&lt;&gt;"Balance Sheet / Clearing","-",IF(SUMPRODUCT(--(LEFT('7. Settlements'!$J$8:$J$107,7)=$A206),--('7. Settlements'!$M$8:$M$107="Tied out"))+SUMPRODUCT(--(LEFT('8. Transfers'!$H$9:$H$108,7)=$A206),--('8. Transfers'!$J$9:$J$108="Matched"))+SUMPRODUCT(--(LEFT('8. Transfers'!$I$9:$I$108,7)=$A206),--('8. Transfers'!$J$9:$J$108="Matched"))+IF($O206="",0,COUNTIFS('9. Payroll Allocation'!$B$234:$B$253,$O206,'9. Payroll Allocation'!$H$234:$H$253,"Tied out"))&gt;0,"Linked","MISSING DETAIL")))</f>
        <v/>
      </c>
      <c r="T206" s="58" t="str">
        <f t="shared" si="34"/>
        <v/>
      </c>
      <c r="U206" s="59" t="str">
        <f>IF($T206="","",COUNTIF($T$6:$T206,"?*"))</f>
        <v/>
      </c>
      <c r="V206" s="58" t="str">
        <f t="shared" si="35"/>
        <v/>
      </c>
    </row>
    <row r="207" spans="1:22" ht="12.95" customHeight="1" x14ac:dyDescent="0.25">
      <c r="A207" s="60" t="str">
        <f t="shared" si="27"/>
        <v/>
      </c>
      <c r="B207" s="37"/>
      <c r="C207" s="28"/>
      <c r="D207" s="35"/>
      <c r="E207" s="38"/>
      <c r="F207" s="38"/>
      <c r="G207" s="60" t="str">
        <f t="shared" si="28"/>
        <v/>
      </c>
      <c r="H207" s="61" t="str">
        <f t="shared" si="29"/>
        <v/>
      </c>
      <c r="I207" s="40"/>
      <c r="J207" s="62" t="str">
        <f t="shared" si="30"/>
        <v/>
      </c>
      <c r="K207" s="45" t="str">
        <f t="shared" si="31"/>
        <v/>
      </c>
      <c r="L207" s="55"/>
      <c r="M207" s="63">
        <f t="shared" si="32"/>
        <v>0</v>
      </c>
      <c r="N207" s="63">
        <f t="shared" si="33"/>
        <v>0</v>
      </c>
      <c r="O207" s="57"/>
      <c r="P207" s="40"/>
      <c r="Q207" s="60" t="str">
        <f>IF($D207="","",IF($K207&lt;&gt;"Balance Sheet / Clearing","-",IF(SUMPRODUCT(--(LEFT('7. Settlements'!$J$8:$J$107,7)=$A207),--('7. Settlements'!$M$8:$M$107="Tied out"))+SUMPRODUCT(--(LEFT('8. Transfers'!$H$9:$H$108,7)=$A207),--('8. Transfers'!$J$9:$J$108="Matched"))+SUMPRODUCT(--(LEFT('8. Transfers'!$I$9:$I$108,7)=$A207),--('8. Transfers'!$J$9:$J$108="Matched"))+IF($O207="",0,COUNTIFS('9. Payroll Allocation'!$B$234:$B$253,$O207,'9. Payroll Allocation'!$H$234:$H$253,"Tied out"))&gt;0,"Linked","MISSING DETAIL")))</f>
        <v/>
      </c>
      <c r="T207" s="58" t="str">
        <f t="shared" si="34"/>
        <v/>
      </c>
      <c r="U207" s="59" t="str">
        <f>IF($T207="","",COUNTIF($T$6:$T207,"?*"))</f>
        <v/>
      </c>
      <c r="V207" s="58" t="str">
        <f t="shared" si="35"/>
        <v/>
      </c>
    </row>
    <row r="208" spans="1:22" ht="12.95" customHeight="1" x14ac:dyDescent="0.25">
      <c r="A208" s="52" t="str">
        <f t="shared" si="27"/>
        <v/>
      </c>
      <c r="B208" s="37"/>
      <c r="C208" s="28"/>
      <c r="D208" s="35"/>
      <c r="E208" s="38"/>
      <c r="F208" s="38"/>
      <c r="G208" s="52" t="str">
        <f t="shared" si="28"/>
        <v/>
      </c>
      <c r="H208" s="53" t="str">
        <f t="shared" si="29"/>
        <v/>
      </c>
      <c r="I208" s="40"/>
      <c r="J208" s="54" t="str">
        <f t="shared" si="30"/>
        <v/>
      </c>
      <c r="K208" s="41" t="str">
        <f t="shared" si="31"/>
        <v/>
      </c>
      <c r="L208" s="55"/>
      <c r="M208" s="56">
        <f t="shared" si="32"/>
        <v>0</v>
      </c>
      <c r="N208" s="56">
        <f t="shared" si="33"/>
        <v>0</v>
      </c>
      <c r="O208" s="57"/>
      <c r="P208" s="40"/>
      <c r="Q208" s="52" t="str">
        <f>IF($D208="","",IF($K208&lt;&gt;"Balance Sheet / Clearing","-",IF(SUMPRODUCT(--(LEFT('7. Settlements'!$J$8:$J$107,7)=$A208),--('7. Settlements'!$M$8:$M$107="Tied out"))+SUMPRODUCT(--(LEFT('8. Transfers'!$H$9:$H$108,7)=$A208),--('8. Transfers'!$J$9:$J$108="Matched"))+SUMPRODUCT(--(LEFT('8. Transfers'!$I$9:$I$108,7)=$A208),--('8. Transfers'!$J$9:$J$108="Matched"))+IF($O208="",0,COUNTIFS('9. Payroll Allocation'!$B$234:$B$253,$O208,'9. Payroll Allocation'!$H$234:$H$253,"Tied out"))&gt;0,"Linked","MISSING DETAIL")))</f>
        <v/>
      </c>
      <c r="T208" s="58" t="str">
        <f t="shared" si="34"/>
        <v/>
      </c>
      <c r="U208" s="59" t="str">
        <f>IF($T208="","",COUNTIF($T$6:$T208,"?*"))</f>
        <v/>
      </c>
      <c r="V208" s="58" t="str">
        <f t="shared" si="35"/>
        <v/>
      </c>
    </row>
    <row r="209" spans="1:22" ht="12.95" customHeight="1" x14ac:dyDescent="0.25">
      <c r="A209" s="60" t="str">
        <f t="shared" si="27"/>
        <v/>
      </c>
      <c r="B209" s="37"/>
      <c r="C209" s="28"/>
      <c r="D209" s="35"/>
      <c r="E209" s="38"/>
      <c r="F209" s="38"/>
      <c r="G209" s="60" t="str">
        <f t="shared" si="28"/>
        <v/>
      </c>
      <c r="H209" s="61" t="str">
        <f t="shared" si="29"/>
        <v/>
      </c>
      <c r="I209" s="40"/>
      <c r="J209" s="62" t="str">
        <f t="shared" si="30"/>
        <v/>
      </c>
      <c r="K209" s="45" t="str">
        <f t="shared" si="31"/>
        <v/>
      </c>
      <c r="L209" s="55"/>
      <c r="M209" s="63">
        <f t="shared" si="32"/>
        <v>0</v>
      </c>
      <c r="N209" s="63">
        <f t="shared" si="33"/>
        <v>0</v>
      </c>
      <c r="O209" s="57"/>
      <c r="P209" s="40"/>
      <c r="Q209" s="60" t="str">
        <f>IF($D209="","",IF($K209&lt;&gt;"Balance Sheet / Clearing","-",IF(SUMPRODUCT(--(LEFT('7. Settlements'!$J$8:$J$107,7)=$A209),--('7. Settlements'!$M$8:$M$107="Tied out"))+SUMPRODUCT(--(LEFT('8. Transfers'!$H$9:$H$108,7)=$A209),--('8. Transfers'!$J$9:$J$108="Matched"))+SUMPRODUCT(--(LEFT('8. Transfers'!$I$9:$I$108,7)=$A209),--('8. Transfers'!$J$9:$J$108="Matched"))+IF($O209="",0,COUNTIFS('9. Payroll Allocation'!$B$234:$B$253,$O209,'9. Payroll Allocation'!$H$234:$H$253,"Tied out"))&gt;0,"Linked","MISSING DETAIL")))</f>
        <v/>
      </c>
      <c r="T209" s="58" t="str">
        <f t="shared" si="34"/>
        <v/>
      </c>
      <c r="U209" s="59" t="str">
        <f>IF($T209="","",COUNTIF($T$6:$T209,"?*"))</f>
        <v/>
      </c>
      <c r="V209" s="58" t="str">
        <f t="shared" si="35"/>
        <v/>
      </c>
    </row>
    <row r="210" spans="1:22" ht="12.95" customHeight="1" x14ac:dyDescent="0.25">
      <c r="A210" s="52" t="str">
        <f t="shared" si="27"/>
        <v/>
      </c>
      <c r="B210" s="37"/>
      <c r="C210" s="28"/>
      <c r="D210" s="35"/>
      <c r="E210" s="38"/>
      <c r="F210" s="38"/>
      <c r="G210" s="52" t="str">
        <f t="shared" si="28"/>
        <v/>
      </c>
      <c r="H210" s="53" t="str">
        <f t="shared" si="29"/>
        <v/>
      </c>
      <c r="I210" s="40"/>
      <c r="J210" s="54" t="str">
        <f t="shared" si="30"/>
        <v/>
      </c>
      <c r="K210" s="41" t="str">
        <f t="shared" si="31"/>
        <v/>
      </c>
      <c r="L210" s="55"/>
      <c r="M210" s="56">
        <f t="shared" si="32"/>
        <v>0</v>
      </c>
      <c r="N210" s="56">
        <f t="shared" si="33"/>
        <v>0</v>
      </c>
      <c r="O210" s="57"/>
      <c r="P210" s="40"/>
      <c r="Q210" s="52" t="str">
        <f>IF($D210="","",IF($K210&lt;&gt;"Balance Sheet / Clearing","-",IF(SUMPRODUCT(--(LEFT('7. Settlements'!$J$8:$J$107,7)=$A210),--('7. Settlements'!$M$8:$M$107="Tied out"))+SUMPRODUCT(--(LEFT('8. Transfers'!$H$9:$H$108,7)=$A210),--('8. Transfers'!$J$9:$J$108="Matched"))+SUMPRODUCT(--(LEFT('8. Transfers'!$I$9:$I$108,7)=$A210),--('8. Transfers'!$J$9:$J$108="Matched"))+IF($O210="",0,COUNTIFS('9. Payroll Allocation'!$B$234:$B$253,$O210,'9. Payroll Allocation'!$H$234:$H$253,"Tied out"))&gt;0,"Linked","MISSING DETAIL")))</f>
        <v/>
      </c>
      <c r="T210" s="58" t="str">
        <f t="shared" si="34"/>
        <v/>
      </c>
      <c r="U210" s="59" t="str">
        <f>IF($T210="","",COUNTIF($T$6:$T210,"?*"))</f>
        <v/>
      </c>
      <c r="V210" s="58" t="str">
        <f t="shared" si="35"/>
        <v/>
      </c>
    </row>
    <row r="211" spans="1:22" ht="12.95" customHeight="1" x14ac:dyDescent="0.25">
      <c r="A211" s="60" t="str">
        <f t="shared" si="27"/>
        <v/>
      </c>
      <c r="B211" s="37"/>
      <c r="C211" s="28"/>
      <c r="D211" s="35"/>
      <c r="E211" s="38"/>
      <c r="F211" s="38"/>
      <c r="G211" s="60" t="str">
        <f t="shared" si="28"/>
        <v/>
      </c>
      <c r="H211" s="61" t="str">
        <f t="shared" si="29"/>
        <v/>
      </c>
      <c r="I211" s="40"/>
      <c r="J211" s="62" t="str">
        <f t="shared" si="30"/>
        <v/>
      </c>
      <c r="K211" s="45" t="str">
        <f t="shared" si="31"/>
        <v/>
      </c>
      <c r="L211" s="55"/>
      <c r="M211" s="63">
        <f t="shared" si="32"/>
        <v>0</v>
      </c>
      <c r="N211" s="63">
        <f t="shared" si="33"/>
        <v>0</v>
      </c>
      <c r="O211" s="57"/>
      <c r="P211" s="40"/>
      <c r="Q211" s="60" t="str">
        <f>IF($D211="","",IF($K211&lt;&gt;"Balance Sheet / Clearing","-",IF(SUMPRODUCT(--(LEFT('7. Settlements'!$J$8:$J$107,7)=$A211),--('7. Settlements'!$M$8:$M$107="Tied out"))+SUMPRODUCT(--(LEFT('8. Transfers'!$H$9:$H$108,7)=$A211),--('8. Transfers'!$J$9:$J$108="Matched"))+SUMPRODUCT(--(LEFT('8. Transfers'!$I$9:$I$108,7)=$A211),--('8. Transfers'!$J$9:$J$108="Matched"))+IF($O211="",0,COUNTIFS('9. Payroll Allocation'!$B$234:$B$253,$O211,'9. Payroll Allocation'!$H$234:$H$253,"Tied out"))&gt;0,"Linked","MISSING DETAIL")))</f>
        <v/>
      </c>
      <c r="T211" s="58" t="str">
        <f t="shared" si="34"/>
        <v/>
      </c>
      <c r="U211" s="59" t="str">
        <f>IF($T211="","",COUNTIF($T$6:$T211,"?*"))</f>
        <v/>
      </c>
      <c r="V211" s="58" t="str">
        <f t="shared" si="35"/>
        <v/>
      </c>
    </row>
    <row r="212" spans="1:22" ht="12.95" customHeight="1" x14ac:dyDescent="0.25">
      <c r="A212" s="52" t="str">
        <f t="shared" si="27"/>
        <v/>
      </c>
      <c r="B212" s="37"/>
      <c r="C212" s="28"/>
      <c r="D212" s="35"/>
      <c r="E212" s="38"/>
      <c r="F212" s="38"/>
      <c r="G212" s="52" t="str">
        <f t="shared" si="28"/>
        <v/>
      </c>
      <c r="H212" s="53" t="str">
        <f t="shared" si="29"/>
        <v/>
      </c>
      <c r="I212" s="40"/>
      <c r="J212" s="54" t="str">
        <f t="shared" si="30"/>
        <v/>
      </c>
      <c r="K212" s="41" t="str">
        <f t="shared" si="31"/>
        <v/>
      </c>
      <c r="L212" s="55"/>
      <c r="M212" s="56">
        <f t="shared" si="32"/>
        <v>0</v>
      </c>
      <c r="N212" s="56">
        <f t="shared" si="33"/>
        <v>0</v>
      </c>
      <c r="O212" s="57"/>
      <c r="P212" s="40"/>
      <c r="Q212" s="52" t="str">
        <f>IF($D212="","",IF($K212&lt;&gt;"Balance Sheet / Clearing","-",IF(SUMPRODUCT(--(LEFT('7. Settlements'!$J$8:$J$107,7)=$A212),--('7. Settlements'!$M$8:$M$107="Tied out"))+SUMPRODUCT(--(LEFT('8. Transfers'!$H$9:$H$108,7)=$A212),--('8. Transfers'!$J$9:$J$108="Matched"))+SUMPRODUCT(--(LEFT('8. Transfers'!$I$9:$I$108,7)=$A212),--('8. Transfers'!$J$9:$J$108="Matched"))+IF($O212="",0,COUNTIFS('9. Payroll Allocation'!$B$234:$B$253,$O212,'9. Payroll Allocation'!$H$234:$H$253,"Tied out"))&gt;0,"Linked","MISSING DETAIL")))</f>
        <v/>
      </c>
      <c r="T212" s="58" t="str">
        <f t="shared" si="34"/>
        <v/>
      </c>
      <c r="U212" s="59" t="str">
        <f>IF($T212="","",COUNTIF($T$6:$T212,"?*"))</f>
        <v/>
      </c>
      <c r="V212" s="58" t="str">
        <f t="shared" si="35"/>
        <v/>
      </c>
    </row>
    <row r="213" spans="1:22" ht="12.95" customHeight="1" x14ac:dyDescent="0.25">
      <c r="A213" s="60" t="str">
        <f t="shared" si="27"/>
        <v/>
      </c>
      <c r="B213" s="37"/>
      <c r="C213" s="28"/>
      <c r="D213" s="35"/>
      <c r="E213" s="38"/>
      <c r="F213" s="38"/>
      <c r="G213" s="60" t="str">
        <f t="shared" si="28"/>
        <v/>
      </c>
      <c r="H213" s="61" t="str">
        <f t="shared" si="29"/>
        <v/>
      </c>
      <c r="I213" s="40"/>
      <c r="J213" s="62" t="str">
        <f t="shared" si="30"/>
        <v/>
      </c>
      <c r="K213" s="45" t="str">
        <f t="shared" si="31"/>
        <v/>
      </c>
      <c r="L213" s="55"/>
      <c r="M213" s="63">
        <f t="shared" si="32"/>
        <v>0</v>
      </c>
      <c r="N213" s="63">
        <f t="shared" si="33"/>
        <v>0</v>
      </c>
      <c r="O213" s="57"/>
      <c r="P213" s="40"/>
      <c r="Q213" s="60" t="str">
        <f>IF($D213="","",IF($K213&lt;&gt;"Balance Sheet / Clearing","-",IF(SUMPRODUCT(--(LEFT('7. Settlements'!$J$8:$J$107,7)=$A213),--('7. Settlements'!$M$8:$M$107="Tied out"))+SUMPRODUCT(--(LEFT('8. Transfers'!$H$9:$H$108,7)=$A213),--('8. Transfers'!$J$9:$J$108="Matched"))+SUMPRODUCT(--(LEFT('8. Transfers'!$I$9:$I$108,7)=$A213),--('8. Transfers'!$J$9:$J$108="Matched"))+IF($O213="",0,COUNTIFS('9. Payroll Allocation'!$B$234:$B$253,$O213,'9. Payroll Allocation'!$H$234:$H$253,"Tied out"))&gt;0,"Linked","MISSING DETAIL")))</f>
        <v/>
      </c>
      <c r="T213" s="58" t="str">
        <f t="shared" si="34"/>
        <v/>
      </c>
      <c r="U213" s="59" t="str">
        <f>IF($T213="","",COUNTIF($T$6:$T213,"?*"))</f>
        <v/>
      </c>
      <c r="V213" s="58" t="str">
        <f t="shared" si="35"/>
        <v/>
      </c>
    </row>
    <row r="214" spans="1:22" ht="12.95" customHeight="1" x14ac:dyDescent="0.25">
      <c r="A214" s="52" t="str">
        <f t="shared" si="27"/>
        <v/>
      </c>
      <c r="B214" s="37"/>
      <c r="C214" s="28"/>
      <c r="D214" s="35"/>
      <c r="E214" s="38"/>
      <c r="F214" s="38"/>
      <c r="G214" s="52" t="str">
        <f t="shared" si="28"/>
        <v/>
      </c>
      <c r="H214" s="53" t="str">
        <f t="shared" si="29"/>
        <v/>
      </c>
      <c r="I214" s="40"/>
      <c r="J214" s="54" t="str">
        <f t="shared" si="30"/>
        <v/>
      </c>
      <c r="K214" s="41" t="str">
        <f t="shared" si="31"/>
        <v/>
      </c>
      <c r="L214" s="55"/>
      <c r="M214" s="56">
        <f t="shared" si="32"/>
        <v>0</v>
      </c>
      <c r="N214" s="56">
        <f t="shared" si="33"/>
        <v>0</v>
      </c>
      <c r="O214" s="57"/>
      <c r="P214" s="40"/>
      <c r="Q214" s="52" t="str">
        <f>IF($D214="","",IF($K214&lt;&gt;"Balance Sheet / Clearing","-",IF(SUMPRODUCT(--(LEFT('7. Settlements'!$J$8:$J$107,7)=$A214),--('7. Settlements'!$M$8:$M$107="Tied out"))+SUMPRODUCT(--(LEFT('8. Transfers'!$H$9:$H$108,7)=$A214),--('8. Transfers'!$J$9:$J$108="Matched"))+SUMPRODUCT(--(LEFT('8. Transfers'!$I$9:$I$108,7)=$A214),--('8. Transfers'!$J$9:$J$108="Matched"))+IF($O214="",0,COUNTIFS('9. Payroll Allocation'!$B$234:$B$253,$O214,'9. Payroll Allocation'!$H$234:$H$253,"Tied out"))&gt;0,"Linked","MISSING DETAIL")))</f>
        <v/>
      </c>
      <c r="T214" s="58" t="str">
        <f t="shared" si="34"/>
        <v/>
      </c>
      <c r="U214" s="59" t="str">
        <f>IF($T214="","",COUNTIF($T$6:$T214,"?*"))</f>
        <v/>
      </c>
      <c r="V214" s="58" t="str">
        <f t="shared" si="35"/>
        <v/>
      </c>
    </row>
    <row r="215" spans="1:22" ht="12.95" customHeight="1" x14ac:dyDescent="0.25">
      <c r="A215" s="60" t="str">
        <f t="shared" si="27"/>
        <v/>
      </c>
      <c r="B215" s="37"/>
      <c r="C215" s="28"/>
      <c r="D215" s="35"/>
      <c r="E215" s="38"/>
      <c r="F215" s="38"/>
      <c r="G215" s="60" t="str">
        <f t="shared" si="28"/>
        <v/>
      </c>
      <c r="H215" s="61" t="str">
        <f t="shared" si="29"/>
        <v/>
      </c>
      <c r="I215" s="40"/>
      <c r="J215" s="62" t="str">
        <f t="shared" si="30"/>
        <v/>
      </c>
      <c r="K215" s="45" t="str">
        <f t="shared" si="31"/>
        <v/>
      </c>
      <c r="L215" s="55"/>
      <c r="M215" s="63">
        <f t="shared" si="32"/>
        <v>0</v>
      </c>
      <c r="N215" s="63">
        <f t="shared" si="33"/>
        <v>0</v>
      </c>
      <c r="O215" s="57"/>
      <c r="P215" s="40"/>
      <c r="Q215" s="60" t="str">
        <f>IF($D215="","",IF($K215&lt;&gt;"Balance Sheet / Clearing","-",IF(SUMPRODUCT(--(LEFT('7. Settlements'!$J$8:$J$107,7)=$A215),--('7. Settlements'!$M$8:$M$107="Tied out"))+SUMPRODUCT(--(LEFT('8. Transfers'!$H$9:$H$108,7)=$A215),--('8. Transfers'!$J$9:$J$108="Matched"))+SUMPRODUCT(--(LEFT('8. Transfers'!$I$9:$I$108,7)=$A215),--('8. Transfers'!$J$9:$J$108="Matched"))+IF($O215="",0,COUNTIFS('9. Payroll Allocation'!$B$234:$B$253,$O215,'9. Payroll Allocation'!$H$234:$H$253,"Tied out"))&gt;0,"Linked","MISSING DETAIL")))</f>
        <v/>
      </c>
      <c r="T215" s="58" t="str">
        <f t="shared" si="34"/>
        <v/>
      </c>
      <c r="U215" s="59" t="str">
        <f>IF($T215="","",COUNTIF($T$6:$T215,"?*"))</f>
        <v/>
      </c>
      <c r="V215" s="58" t="str">
        <f t="shared" si="35"/>
        <v/>
      </c>
    </row>
    <row r="216" spans="1:22" ht="12.95" customHeight="1" x14ac:dyDescent="0.25">
      <c r="A216" s="52" t="str">
        <f t="shared" si="27"/>
        <v/>
      </c>
      <c r="B216" s="37"/>
      <c r="C216" s="28"/>
      <c r="D216" s="35"/>
      <c r="E216" s="38"/>
      <c r="F216" s="38"/>
      <c r="G216" s="52" t="str">
        <f t="shared" si="28"/>
        <v/>
      </c>
      <c r="H216" s="53" t="str">
        <f t="shared" si="29"/>
        <v/>
      </c>
      <c r="I216" s="40"/>
      <c r="J216" s="54" t="str">
        <f t="shared" si="30"/>
        <v/>
      </c>
      <c r="K216" s="41" t="str">
        <f t="shared" si="31"/>
        <v/>
      </c>
      <c r="L216" s="55"/>
      <c r="M216" s="56">
        <f t="shared" si="32"/>
        <v>0</v>
      </c>
      <c r="N216" s="56">
        <f t="shared" si="33"/>
        <v>0</v>
      </c>
      <c r="O216" s="57"/>
      <c r="P216" s="40"/>
      <c r="Q216" s="52" t="str">
        <f>IF($D216="","",IF($K216&lt;&gt;"Balance Sheet / Clearing","-",IF(SUMPRODUCT(--(LEFT('7. Settlements'!$J$8:$J$107,7)=$A216),--('7. Settlements'!$M$8:$M$107="Tied out"))+SUMPRODUCT(--(LEFT('8. Transfers'!$H$9:$H$108,7)=$A216),--('8. Transfers'!$J$9:$J$108="Matched"))+SUMPRODUCT(--(LEFT('8. Transfers'!$I$9:$I$108,7)=$A216),--('8. Transfers'!$J$9:$J$108="Matched"))+IF($O216="",0,COUNTIFS('9. Payroll Allocation'!$B$234:$B$253,$O216,'9. Payroll Allocation'!$H$234:$H$253,"Tied out"))&gt;0,"Linked","MISSING DETAIL")))</f>
        <v/>
      </c>
      <c r="T216" s="58" t="str">
        <f t="shared" si="34"/>
        <v/>
      </c>
      <c r="U216" s="59" t="str">
        <f>IF($T216="","",COUNTIF($T$6:$T216,"?*"))</f>
        <v/>
      </c>
      <c r="V216" s="58" t="str">
        <f t="shared" si="35"/>
        <v/>
      </c>
    </row>
    <row r="217" spans="1:22" ht="12.95" customHeight="1" x14ac:dyDescent="0.25">
      <c r="A217" s="60" t="str">
        <f t="shared" si="27"/>
        <v/>
      </c>
      <c r="B217" s="37"/>
      <c r="C217" s="28"/>
      <c r="D217" s="35"/>
      <c r="E217" s="38"/>
      <c r="F217" s="38"/>
      <c r="G217" s="60" t="str">
        <f t="shared" si="28"/>
        <v/>
      </c>
      <c r="H217" s="61" t="str">
        <f t="shared" si="29"/>
        <v/>
      </c>
      <c r="I217" s="40"/>
      <c r="J217" s="62" t="str">
        <f t="shared" si="30"/>
        <v/>
      </c>
      <c r="K217" s="45" t="str">
        <f t="shared" si="31"/>
        <v/>
      </c>
      <c r="L217" s="55"/>
      <c r="M217" s="63">
        <f t="shared" si="32"/>
        <v>0</v>
      </c>
      <c r="N217" s="63">
        <f t="shared" si="33"/>
        <v>0</v>
      </c>
      <c r="O217" s="57"/>
      <c r="P217" s="40"/>
      <c r="Q217" s="60" t="str">
        <f>IF($D217="","",IF($K217&lt;&gt;"Balance Sheet / Clearing","-",IF(SUMPRODUCT(--(LEFT('7. Settlements'!$J$8:$J$107,7)=$A217),--('7. Settlements'!$M$8:$M$107="Tied out"))+SUMPRODUCT(--(LEFT('8. Transfers'!$H$9:$H$108,7)=$A217),--('8. Transfers'!$J$9:$J$108="Matched"))+SUMPRODUCT(--(LEFT('8. Transfers'!$I$9:$I$108,7)=$A217),--('8. Transfers'!$J$9:$J$108="Matched"))+IF($O217="",0,COUNTIFS('9. Payroll Allocation'!$B$234:$B$253,$O217,'9. Payroll Allocation'!$H$234:$H$253,"Tied out"))&gt;0,"Linked","MISSING DETAIL")))</f>
        <v/>
      </c>
      <c r="T217" s="58" t="str">
        <f t="shared" si="34"/>
        <v/>
      </c>
      <c r="U217" s="59" t="str">
        <f>IF($T217="","",COUNTIF($T$6:$T217,"?*"))</f>
        <v/>
      </c>
      <c r="V217" s="58" t="str">
        <f t="shared" si="35"/>
        <v/>
      </c>
    </row>
    <row r="218" spans="1:22" ht="12.95" customHeight="1" x14ac:dyDescent="0.25">
      <c r="A218" s="52" t="str">
        <f t="shared" si="27"/>
        <v/>
      </c>
      <c r="B218" s="37"/>
      <c r="C218" s="28"/>
      <c r="D218" s="35"/>
      <c r="E218" s="38"/>
      <c r="F218" s="38"/>
      <c r="G218" s="52" t="str">
        <f t="shared" si="28"/>
        <v/>
      </c>
      <c r="H218" s="53" t="str">
        <f t="shared" si="29"/>
        <v/>
      </c>
      <c r="I218" s="40"/>
      <c r="J218" s="54" t="str">
        <f t="shared" si="30"/>
        <v/>
      </c>
      <c r="K218" s="41" t="str">
        <f t="shared" si="31"/>
        <v/>
      </c>
      <c r="L218" s="55"/>
      <c r="M218" s="56">
        <f t="shared" si="32"/>
        <v>0</v>
      </c>
      <c r="N218" s="56">
        <f t="shared" si="33"/>
        <v>0</v>
      </c>
      <c r="O218" s="57"/>
      <c r="P218" s="40"/>
      <c r="Q218" s="52" t="str">
        <f>IF($D218="","",IF($K218&lt;&gt;"Balance Sheet / Clearing","-",IF(SUMPRODUCT(--(LEFT('7. Settlements'!$J$8:$J$107,7)=$A218),--('7. Settlements'!$M$8:$M$107="Tied out"))+SUMPRODUCT(--(LEFT('8. Transfers'!$H$9:$H$108,7)=$A218),--('8. Transfers'!$J$9:$J$108="Matched"))+SUMPRODUCT(--(LEFT('8. Transfers'!$I$9:$I$108,7)=$A218),--('8. Transfers'!$J$9:$J$108="Matched"))+IF($O218="",0,COUNTIFS('9. Payroll Allocation'!$B$234:$B$253,$O218,'9. Payroll Allocation'!$H$234:$H$253,"Tied out"))&gt;0,"Linked","MISSING DETAIL")))</f>
        <v/>
      </c>
      <c r="T218" s="58" t="str">
        <f t="shared" si="34"/>
        <v/>
      </c>
      <c r="U218" s="59" t="str">
        <f>IF($T218="","",COUNTIF($T$6:$T218,"?*"))</f>
        <v/>
      </c>
      <c r="V218" s="58" t="str">
        <f t="shared" si="35"/>
        <v/>
      </c>
    </row>
    <row r="219" spans="1:22" ht="12.95" customHeight="1" x14ac:dyDescent="0.25">
      <c r="A219" s="60" t="str">
        <f t="shared" si="27"/>
        <v/>
      </c>
      <c r="B219" s="37"/>
      <c r="C219" s="28"/>
      <c r="D219" s="35"/>
      <c r="E219" s="38"/>
      <c r="F219" s="38"/>
      <c r="G219" s="60" t="str">
        <f t="shared" si="28"/>
        <v/>
      </c>
      <c r="H219" s="61" t="str">
        <f t="shared" si="29"/>
        <v/>
      </c>
      <c r="I219" s="40"/>
      <c r="J219" s="62" t="str">
        <f t="shared" si="30"/>
        <v/>
      </c>
      <c r="K219" s="45" t="str">
        <f t="shared" si="31"/>
        <v/>
      </c>
      <c r="L219" s="55"/>
      <c r="M219" s="63">
        <f t="shared" si="32"/>
        <v>0</v>
      </c>
      <c r="N219" s="63">
        <f t="shared" si="33"/>
        <v>0</v>
      </c>
      <c r="O219" s="57"/>
      <c r="P219" s="40"/>
      <c r="Q219" s="60" t="str">
        <f>IF($D219="","",IF($K219&lt;&gt;"Balance Sheet / Clearing","-",IF(SUMPRODUCT(--(LEFT('7. Settlements'!$J$8:$J$107,7)=$A219),--('7. Settlements'!$M$8:$M$107="Tied out"))+SUMPRODUCT(--(LEFT('8. Transfers'!$H$9:$H$108,7)=$A219),--('8. Transfers'!$J$9:$J$108="Matched"))+SUMPRODUCT(--(LEFT('8. Transfers'!$I$9:$I$108,7)=$A219),--('8. Transfers'!$J$9:$J$108="Matched"))+IF($O219="",0,COUNTIFS('9. Payroll Allocation'!$B$234:$B$253,$O219,'9. Payroll Allocation'!$H$234:$H$253,"Tied out"))&gt;0,"Linked","MISSING DETAIL")))</f>
        <v/>
      </c>
      <c r="T219" s="58" t="str">
        <f t="shared" si="34"/>
        <v/>
      </c>
      <c r="U219" s="59" t="str">
        <f>IF($T219="","",COUNTIF($T$6:$T219,"?*"))</f>
        <v/>
      </c>
      <c r="V219" s="58" t="str">
        <f t="shared" si="35"/>
        <v/>
      </c>
    </row>
    <row r="220" spans="1:22" ht="12.95" customHeight="1" x14ac:dyDescent="0.25">
      <c r="A220" s="52" t="str">
        <f t="shared" si="27"/>
        <v/>
      </c>
      <c r="B220" s="37"/>
      <c r="C220" s="28"/>
      <c r="D220" s="35"/>
      <c r="E220" s="38"/>
      <c r="F220" s="38"/>
      <c r="G220" s="52" t="str">
        <f t="shared" si="28"/>
        <v/>
      </c>
      <c r="H220" s="53" t="str">
        <f t="shared" si="29"/>
        <v/>
      </c>
      <c r="I220" s="40"/>
      <c r="J220" s="54" t="str">
        <f t="shared" si="30"/>
        <v/>
      </c>
      <c r="K220" s="41" t="str">
        <f t="shared" si="31"/>
        <v/>
      </c>
      <c r="L220" s="55"/>
      <c r="M220" s="56">
        <f t="shared" si="32"/>
        <v>0</v>
      </c>
      <c r="N220" s="56">
        <f t="shared" si="33"/>
        <v>0</v>
      </c>
      <c r="O220" s="57"/>
      <c r="P220" s="40"/>
      <c r="Q220" s="52" t="str">
        <f>IF($D220="","",IF($K220&lt;&gt;"Balance Sheet / Clearing","-",IF(SUMPRODUCT(--(LEFT('7. Settlements'!$J$8:$J$107,7)=$A220),--('7. Settlements'!$M$8:$M$107="Tied out"))+SUMPRODUCT(--(LEFT('8. Transfers'!$H$9:$H$108,7)=$A220),--('8. Transfers'!$J$9:$J$108="Matched"))+SUMPRODUCT(--(LEFT('8. Transfers'!$I$9:$I$108,7)=$A220),--('8. Transfers'!$J$9:$J$108="Matched"))+IF($O220="",0,COUNTIFS('9. Payroll Allocation'!$B$234:$B$253,$O220,'9. Payroll Allocation'!$H$234:$H$253,"Tied out"))&gt;0,"Linked","MISSING DETAIL")))</f>
        <v/>
      </c>
      <c r="T220" s="58" t="str">
        <f t="shared" si="34"/>
        <v/>
      </c>
      <c r="U220" s="59" t="str">
        <f>IF($T220="","",COUNTIF($T$6:$T220,"?*"))</f>
        <v/>
      </c>
      <c r="V220" s="58" t="str">
        <f t="shared" si="35"/>
        <v/>
      </c>
    </row>
    <row r="221" spans="1:22" ht="12.95" customHeight="1" x14ac:dyDescent="0.25">
      <c r="A221" s="60" t="str">
        <f t="shared" si="27"/>
        <v/>
      </c>
      <c r="B221" s="37"/>
      <c r="C221" s="28"/>
      <c r="D221" s="35"/>
      <c r="E221" s="38"/>
      <c r="F221" s="38"/>
      <c r="G221" s="60" t="str">
        <f t="shared" si="28"/>
        <v/>
      </c>
      <c r="H221" s="61" t="str">
        <f t="shared" si="29"/>
        <v/>
      </c>
      <c r="I221" s="40"/>
      <c r="J221" s="62" t="str">
        <f t="shared" si="30"/>
        <v/>
      </c>
      <c r="K221" s="45" t="str">
        <f t="shared" si="31"/>
        <v/>
      </c>
      <c r="L221" s="55"/>
      <c r="M221" s="63">
        <f t="shared" si="32"/>
        <v>0</v>
      </c>
      <c r="N221" s="63">
        <f t="shared" si="33"/>
        <v>0</v>
      </c>
      <c r="O221" s="57"/>
      <c r="P221" s="40"/>
      <c r="Q221" s="60" t="str">
        <f>IF($D221="","",IF($K221&lt;&gt;"Balance Sheet / Clearing","-",IF(SUMPRODUCT(--(LEFT('7. Settlements'!$J$8:$J$107,7)=$A221),--('7. Settlements'!$M$8:$M$107="Tied out"))+SUMPRODUCT(--(LEFT('8. Transfers'!$H$9:$H$108,7)=$A221),--('8. Transfers'!$J$9:$J$108="Matched"))+SUMPRODUCT(--(LEFT('8. Transfers'!$I$9:$I$108,7)=$A221),--('8. Transfers'!$J$9:$J$108="Matched"))+IF($O221="",0,COUNTIFS('9. Payroll Allocation'!$B$234:$B$253,$O221,'9. Payroll Allocation'!$H$234:$H$253,"Tied out"))&gt;0,"Linked","MISSING DETAIL")))</f>
        <v/>
      </c>
      <c r="T221" s="58" t="str">
        <f t="shared" si="34"/>
        <v/>
      </c>
      <c r="U221" s="59" t="str">
        <f>IF($T221="","",COUNTIF($T$6:$T221,"?*"))</f>
        <v/>
      </c>
      <c r="V221" s="58" t="str">
        <f t="shared" si="35"/>
        <v/>
      </c>
    </row>
    <row r="222" spans="1:22" ht="12.95" customHeight="1" x14ac:dyDescent="0.25">
      <c r="A222" s="52" t="str">
        <f t="shared" si="27"/>
        <v/>
      </c>
      <c r="B222" s="37"/>
      <c r="C222" s="28"/>
      <c r="D222" s="35"/>
      <c r="E222" s="38"/>
      <c r="F222" s="38"/>
      <c r="G222" s="52" t="str">
        <f t="shared" si="28"/>
        <v/>
      </c>
      <c r="H222" s="53" t="str">
        <f t="shared" si="29"/>
        <v/>
      </c>
      <c r="I222" s="40"/>
      <c r="J222" s="54" t="str">
        <f t="shared" si="30"/>
        <v/>
      </c>
      <c r="K222" s="41" t="str">
        <f t="shared" si="31"/>
        <v/>
      </c>
      <c r="L222" s="55"/>
      <c r="M222" s="56">
        <f t="shared" si="32"/>
        <v>0</v>
      </c>
      <c r="N222" s="56">
        <f t="shared" si="33"/>
        <v>0</v>
      </c>
      <c r="O222" s="57"/>
      <c r="P222" s="40"/>
      <c r="Q222" s="52" t="str">
        <f>IF($D222="","",IF($K222&lt;&gt;"Balance Sheet / Clearing","-",IF(SUMPRODUCT(--(LEFT('7. Settlements'!$J$8:$J$107,7)=$A222),--('7. Settlements'!$M$8:$M$107="Tied out"))+SUMPRODUCT(--(LEFT('8. Transfers'!$H$9:$H$108,7)=$A222),--('8. Transfers'!$J$9:$J$108="Matched"))+SUMPRODUCT(--(LEFT('8. Transfers'!$I$9:$I$108,7)=$A222),--('8. Transfers'!$J$9:$J$108="Matched"))+IF($O222="",0,COUNTIFS('9. Payroll Allocation'!$B$234:$B$253,$O222,'9. Payroll Allocation'!$H$234:$H$253,"Tied out"))&gt;0,"Linked","MISSING DETAIL")))</f>
        <v/>
      </c>
      <c r="T222" s="58" t="str">
        <f t="shared" si="34"/>
        <v/>
      </c>
      <c r="U222" s="59" t="str">
        <f>IF($T222="","",COUNTIF($T$6:$T222,"?*"))</f>
        <v/>
      </c>
      <c r="V222" s="58" t="str">
        <f t="shared" si="35"/>
        <v/>
      </c>
    </row>
    <row r="223" spans="1:22" ht="12.95" customHeight="1" x14ac:dyDescent="0.25">
      <c r="A223" s="60" t="str">
        <f t="shared" si="27"/>
        <v/>
      </c>
      <c r="B223" s="37"/>
      <c r="C223" s="28"/>
      <c r="D223" s="35"/>
      <c r="E223" s="38"/>
      <c r="F223" s="38"/>
      <c r="G223" s="60" t="str">
        <f t="shared" si="28"/>
        <v/>
      </c>
      <c r="H223" s="61" t="str">
        <f t="shared" si="29"/>
        <v/>
      </c>
      <c r="I223" s="40"/>
      <c r="J223" s="62" t="str">
        <f t="shared" si="30"/>
        <v/>
      </c>
      <c r="K223" s="45" t="str">
        <f t="shared" si="31"/>
        <v/>
      </c>
      <c r="L223" s="55"/>
      <c r="M223" s="63">
        <f t="shared" si="32"/>
        <v>0</v>
      </c>
      <c r="N223" s="63">
        <f t="shared" si="33"/>
        <v>0</v>
      </c>
      <c r="O223" s="57"/>
      <c r="P223" s="40"/>
      <c r="Q223" s="60" t="str">
        <f>IF($D223="","",IF($K223&lt;&gt;"Balance Sheet / Clearing","-",IF(SUMPRODUCT(--(LEFT('7. Settlements'!$J$8:$J$107,7)=$A223),--('7. Settlements'!$M$8:$M$107="Tied out"))+SUMPRODUCT(--(LEFT('8. Transfers'!$H$9:$H$108,7)=$A223),--('8. Transfers'!$J$9:$J$108="Matched"))+SUMPRODUCT(--(LEFT('8. Transfers'!$I$9:$I$108,7)=$A223),--('8. Transfers'!$J$9:$J$108="Matched"))+IF($O223="",0,COUNTIFS('9. Payroll Allocation'!$B$234:$B$253,$O223,'9. Payroll Allocation'!$H$234:$H$253,"Tied out"))&gt;0,"Linked","MISSING DETAIL")))</f>
        <v/>
      </c>
      <c r="T223" s="58" t="str">
        <f t="shared" si="34"/>
        <v/>
      </c>
      <c r="U223" s="59" t="str">
        <f>IF($T223="","",COUNTIF($T$6:$T223,"?*"))</f>
        <v/>
      </c>
      <c r="V223" s="58" t="str">
        <f t="shared" si="35"/>
        <v/>
      </c>
    </row>
    <row r="224" spans="1:22" ht="12.95" customHeight="1" x14ac:dyDescent="0.25">
      <c r="A224" s="52" t="str">
        <f t="shared" si="27"/>
        <v/>
      </c>
      <c r="B224" s="37"/>
      <c r="C224" s="28"/>
      <c r="D224" s="35"/>
      <c r="E224" s="38"/>
      <c r="F224" s="38"/>
      <c r="G224" s="52" t="str">
        <f t="shared" si="28"/>
        <v/>
      </c>
      <c r="H224" s="53" t="str">
        <f t="shared" si="29"/>
        <v/>
      </c>
      <c r="I224" s="40"/>
      <c r="J224" s="54" t="str">
        <f t="shared" si="30"/>
        <v/>
      </c>
      <c r="K224" s="41" t="str">
        <f t="shared" si="31"/>
        <v/>
      </c>
      <c r="L224" s="55"/>
      <c r="M224" s="56">
        <f t="shared" si="32"/>
        <v>0</v>
      </c>
      <c r="N224" s="56">
        <f t="shared" si="33"/>
        <v>0</v>
      </c>
      <c r="O224" s="57"/>
      <c r="P224" s="40"/>
      <c r="Q224" s="52" t="str">
        <f>IF($D224="","",IF($K224&lt;&gt;"Balance Sheet / Clearing","-",IF(SUMPRODUCT(--(LEFT('7. Settlements'!$J$8:$J$107,7)=$A224),--('7. Settlements'!$M$8:$M$107="Tied out"))+SUMPRODUCT(--(LEFT('8. Transfers'!$H$9:$H$108,7)=$A224),--('8. Transfers'!$J$9:$J$108="Matched"))+SUMPRODUCT(--(LEFT('8. Transfers'!$I$9:$I$108,7)=$A224),--('8. Transfers'!$J$9:$J$108="Matched"))+IF($O224="",0,COUNTIFS('9. Payroll Allocation'!$B$234:$B$253,$O224,'9. Payroll Allocation'!$H$234:$H$253,"Tied out"))&gt;0,"Linked","MISSING DETAIL")))</f>
        <v/>
      </c>
      <c r="T224" s="58" t="str">
        <f t="shared" si="34"/>
        <v/>
      </c>
      <c r="U224" s="59" t="str">
        <f>IF($T224="","",COUNTIF($T$6:$T224,"?*"))</f>
        <v/>
      </c>
      <c r="V224" s="58" t="str">
        <f t="shared" si="35"/>
        <v/>
      </c>
    </row>
    <row r="225" spans="1:22" ht="12.95" customHeight="1" x14ac:dyDescent="0.25">
      <c r="A225" s="60" t="str">
        <f t="shared" si="27"/>
        <v/>
      </c>
      <c r="B225" s="37"/>
      <c r="C225" s="28"/>
      <c r="D225" s="35"/>
      <c r="E225" s="38"/>
      <c r="F225" s="38"/>
      <c r="G225" s="60" t="str">
        <f t="shared" si="28"/>
        <v/>
      </c>
      <c r="H225" s="61" t="str">
        <f t="shared" si="29"/>
        <v/>
      </c>
      <c r="I225" s="40"/>
      <c r="J225" s="62" t="str">
        <f t="shared" si="30"/>
        <v/>
      </c>
      <c r="K225" s="45" t="str">
        <f t="shared" si="31"/>
        <v/>
      </c>
      <c r="L225" s="55"/>
      <c r="M225" s="63">
        <f t="shared" si="32"/>
        <v>0</v>
      </c>
      <c r="N225" s="63">
        <f t="shared" si="33"/>
        <v>0</v>
      </c>
      <c r="O225" s="57"/>
      <c r="P225" s="40"/>
      <c r="Q225" s="60" t="str">
        <f>IF($D225="","",IF($K225&lt;&gt;"Balance Sheet / Clearing","-",IF(SUMPRODUCT(--(LEFT('7. Settlements'!$J$8:$J$107,7)=$A225),--('7. Settlements'!$M$8:$M$107="Tied out"))+SUMPRODUCT(--(LEFT('8. Transfers'!$H$9:$H$108,7)=$A225),--('8. Transfers'!$J$9:$J$108="Matched"))+SUMPRODUCT(--(LEFT('8. Transfers'!$I$9:$I$108,7)=$A225),--('8. Transfers'!$J$9:$J$108="Matched"))+IF($O225="",0,COUNTIFS('9. Payroll Allocation'!$B$234:$B$253,$O225,'9. Payroll Allocation'!$H$234:$H$253,"Tied out"))&gt;0,"Linked","MISSING DETAIL")))</f>
        <v/>
      </c>
      <c r="T225" s="58" t="str">
        <f t="shared" si="34"/>
        <v/>
      </c>
      <c r="U225" s="59" t="str">
        <f>IF($T225="","",COUNTIF($T$6:$T225,"?*"))</f>
        <v/>
      </c>
      <c r="V225" s="58" t="str">
        <f t="shared" si="35"/>
        <v/>
      </c>
    </row>
    <row r="226" spans="1:22" ht="12.95" customHeight="1" x14ac:dyDescent="0.25">
      <c r="A226" s="52" t="str">
        <f t="shared" si="27"/>
        <v/>
      </c>
      <c r="B226" s="37"/>
      <c r="C226" s="28"/>
      <c r="D226" s="35"/>
      <c r="E226" s="38"/>
      <c r="F226" s="38"/>
      <c r="G226" s="52" t="str">
        <f t="shared" si="28"/>
        <v/>
      </c>
      <c r="H226" s="53" t="str">
        <f t="shared" si="29"/>
        <v/>
      </c>
      <c r="I226" s="40"/>
      <c r="J226" s="54" t="str">
        <f t="shared" si="30"/>
        <v/>
      </c>
      <c r="K226" s="41" t="str">
        <f t="shared" si="31"/>
        <v/>
      </c>
      <c r="L226" s="55"/>
      <c r="M226" s="56">
        <f t="shared" si="32"/>
        <v>0</v>
      </c>
      <c r="N226" s="56">
        <f t="shared" si="33"/>
        <v>0</v>
      </c>
      <c r="O226" s="57"/>
      <c r="P226" s="40"/>
      <c r="Q226" s="52" t="str">
        <f>IF($D226="","",IF($K226&lt;&gt;"Balance Sheet / Clearing","-",IF(SUMPRODUCT(--(LEFT('7. Settlements'!$J$8:$J$107,7)=$A226),--('7. Settlements'!$M$8:$M$107="Tied out"))+SUMPRODUCT(--(LEFT('8. Transfers'!$H$9:$H$108,7)=$A226),--('8. Transfers'!$J$9:$J$108="Matched"))+SUMPRODUCT(--(LEFT('8. Transfers'!$I$9:$I$108,7)=$A226),--('8. Transfers'!$J$9:$J$108="Matched"))+IF($O226="",0,COUNTIFS('9. Payroll Allocation'!$B$234:$B$253,$O226,'9. Payroll Allocation'!$H$234:$H$253,"Tied out"))&gt;0,"Linked","MISSING DETAIL")))</f>
        <v/>
      </c>
      <c r="T226" s="58" t="str">
        <f t="shared" si="34"/>
        <v/>
      </c>
      <c r="U226" s="59" t="str">
        <f>IF($T226="","",COUNTIF($T$6:$T226,"?*"))</f>
        <v/>
      </c>
      <c r="V226" s="58" t="str">
        <f t="shared" si="35"/>
        <v/>
      </c>
    </row>
    <row r="227" spans="1:22" ht="12.95" customHeight="1" x14ac:dyDescent="0.25">
      <c r="A227" s="60" t="str">
        <f t="shared" si="27"/>
        <v/>
      </c>
      <c r="B227" s="37"/>
      <c r="C227" s="28"/>
      <c r="D227" s="35"/>
      <c r="E227" s="38"/>
      <c r="F227" s="38"/>
      <c r="G227" s="60" t="str">
        <f t="shared" si="28"/>
        <v/>
      </c>
      <c r="H227" s="61" t="str">
        <f t="shared" si="29"/>
        <v/>
      </c>
      <c r="I227" s="40"/>
      <c r="J227" s="62" t="str">
        <f t="shared" si="30"/>
        <v/>
      </c>
      <c r="K227" s="45" t="str">
        <f t="shared" si="31"/>
        <v/>
      </c>
      <c r="L227" s="55"/>
      <c r="M227" s="63">
        <f t="shared" si="32"/>
        <v>0</v>
      </c>
      <c r="N227" s="63">
        <f t="shared" si="33"/>
        <v>0</v>
      </c>
      <c r="O227" s="57"/>
      <c r="P227" s="40"/>
      <c r="Q227" s="60" t="str">
        <f>IF($D227="","",IF($K227&lt;&gt;"Balance Sheet / Clearing","-",IF(SUMPRODUCT(--(LEFT('7. Settlements'!$J$8:$J$107,7)=$A227),--('7. Settlements'!$M$8:$M$107="Tied out"))+SUMPRODUCT(--(LEFT('8. Transfers'!$H$9:$H$108,7)=$A227),--('8. Transfers'!$J$9:$J$108="Matched"))+SUMPRODUCT(--(LEFT('8. Transfers'!$I$9:$I$108,7)=$A227),--('8. Transfers'!$J$9:$J$108="Matched"))+IF($O227="",0,COUNTIFS('9. Payroll Allocation'!$B$234:$B$253,$O227,'9. Payroll Allocation'!$H$234:$H$253,"Tied out"))&gt;0,"Linked","MISSING DETAIL")))</f>
        <v/>
      </c>
      <c r="T227" s="58" t="str">
        <f t="shared" si="34"/>
        <v/>
      </c>
      <c r="U227" s="59" t="str">
        <f>IF($T227="","",COUNTIF($T$6:$T227,"?*"))</f>
        <v/>
      </c>
      <c r="V227" s="58" t="str">
        <f t="shared" si="35"/>
        <v/>
      </c>
    </row>
    <row r="228" spans="1:22" ht="12.95" customHeight="1" x14ac:dyDescent="0.25">
      <c r="A228" s="52" t="str">
        <f t="shared" si="27"/>
        <v/>
      </c>
      <c r="B228" s="37"/>
      <c r="C228" s="28"/>
      <c r="D228" s="35"/>
      <c r="E228" s="38"/>
      <c r="F228" s="38"/>
      <c r="G228" s="52" t="str">
        <f t="shared" si="28"/>
        <v/>
      </c>
      <c r="H228" s="53" t="str">
        <f t="shared" si="29"/>
        <v/>
      </c>
      <c r="I228" s="40"/>
      <c r="J228" s="54" t="str">
        <f t="shared" si="30"/>
        <v/>
      </c>
      <c r="K228" s="41" t="str">
        <f t="shared" si="31"/>
        <v/>
      </c>
      <c r="L228" s="55"/>
      <c r="M228" s="56">
        <f t="shared" si="32"/>
        <v>0</v>
      </c>
      <c r="N228" s="56">
        <f t="shared" si="33"/>
        <v>0</v>
      </c>
      <c r="O228" s="57"/>
      <c r="P228" s="40"/>
      <c r="Q228" s="52" t="str">
        <f>IF($D228="","",IF($K228&lt;&gt;"Balance Sheet / Clearing","-",IF(SUMPRODUCT(--(LEFT('7. Settlements'!$J$8:$J$107,7)=$A228),--('7. Settlements'!$M$8:$M$107="Tied out"))+SUMPRODUCT(--(LEFT('8. Transfers'!$H$9:$H$108,7)=$A228),--('8. Transfers'!$J$9:$J$108="Matched"))+SUMPRODUCT(--(LEFT('8. Transfers'!$I$9:$I$108,7)=$A228),--('8. Transfers'!$J$9:$J$108="Matched"))+IF($O228="",0,COUNTIFS('9. Payroll Allocation'!$B$234:$B$253,$O228,'9. Payroll Allocation'!$H$234:$H$253,"Tied out"))&gt;0,"Linked","MISSING DETAIL")))</f>
        <v/>
      </c>
      <c r="T228" s="58" t="str">
        <f t="shared" si="34"/>
        <v/>
      </c>
      <c r="U228" s="59" t="str">
        <f>IF($T228="","",COUNTIF($T$6:$T228,"?*"))</f>
        <v/>
      </c>
      <c r="V228" s="58" t="str">
        <f t="shared" si="35"/>
        <v/>
      </c>
    </row>
    <row r="229" spans="1:22" ht="12.95" customHeight="1" x14ac:dyDescent="0.25">
      <c r="A229" s="60" t="str">
        <f t="shared" si="27"/>
        <v/>
      </c>
      <c r="B229" s="37"/>
      <c r="C229" s="28"/>
      <c r="D229" s="35"/>
      <c r="E229" s="38"/>
      <c r="F229" s="38"/>
      <c r="G229" s="60" t="str">
        <f t="shared" si="28"/>
        <v/>
      </c>
      <c r="H229" s="61" t="str">
        <f t="shared" si="29"/>
        <v/>
      </c>
      <c r="I229" s="40"/>
      <c r="J229" s="62" t="str">
        <f t="shared" si="30"/>
        <v/>
      </c>
      <c r="K229" s="45" t="str">
        <f t="shared" si="31"/>
        <v/>
      </c>
      <c r="L229" s="55"/>
      <c r="M229" s="63">
        <f t="shared" si="32"/>
        <v>0</v>
      </c>
      <c r="N229" s="63">
        <f t="shared" si="33"/>
        <v>0</v>
      </c>
      <c r="O229" s="57"/>
      <c r="P229" s="40"/>
      <c r="Q229" s="60" t="str">
        <f>IF($D229="","",IF($K229&lt;&gt;"Balance Sheet / Clearing","-",IF(SUMPRODUCT(--(LEFT('7. Settlements'!$J$8:$J$107,7)=$A229),--('7. Settlements'!$M$8:$M$107="Tied out"))+SUMPRODUCT(--(LEFT('8. Transfers'!$H$9:$H$108,7)=$A229),--('8. Transfers'!$J$9:$J$108="Matched"))+SUMPRODUCT(--(LEFT('8. Transfers'!$I$9:$I$108,7)=$A229),--('8. Transfers'!$J$9:$J$108="Matched"))+IF($O229="",0,COUNTIFS('9. Payroll Allocation'!$B$234:$B$253,$O229,'9. Payroll Allocation'!$H$234:$H$253,"Tied out"))&gt;0,"Linked","MISSING DETAIL")))</f>
        <v/>
      </c>
      <c r="T229" s="58" t="str">
        <f t="shared" si="34"/>
        <v/>
      </c>
      <c r="U229" s="59" t="str">
        <f>IF($T229="","",COUNTIF($T$6:$T229,"?*"))</f>
        <v/>
      </c>
      <c r="V229" s="58" t="str">
        <f t="shared" si="35"/>
        <v/>
      </c>
    </row>
    <row r="230" spans="1:22" ht="12.95" customHeight="1" x14ac:dyDescent="0.25">
      <c r="A230" s="52" t="str">
        <f t="shared" si="27"/>
        <v/>
      </c>
      <c r="B230" s="37"/>
      <c r="C230" s="28"/>
      <c r="D230" s="35"/>
      <c r="E230" s="38"/>
      <c r="F230" s="38"/>
      <c r="G230" s="52" t="str">
        <f t="shared" si="28"/>
        <v/>
      </c>
      <c r="H230" s="53" t="str">
        <f t="shared" si="29"/>
        <v/>
      </c>
      <c r="I230" s="40"/>
      <c r="J230" s="54" t="str">
        <f t="shared" si="30"/>
        <v/>
      </c>
      <c r="K230" s="41" t="str">
        <f t="shared" si="31"/>
        <v/>
      </c>
      <c r="L230" s="55"/>
      <c r="M230" s="56">
        <f t="shared" si="32"/>
        <v>0</v>
      </c>
      <c r="N230" s="56">
        <f t="shared" si="33"/>
        <v>0</v>
      </c>
      <c r="O230" s="57"/>
      <c r="P230" s="40"/>
      <c r="Q230" s="52" t="str">
        <f>IF($D230="","",IF($K230&lt;&gt;"Balance Sheet / Clearing","-",IF(SUMPRODUCT(--(LEFT('7. Settlements'!$J$8:$J$107,7)=$A230),--('7. Settlements'!$M$8:$M$107="Tied out"))+SUMPRODUCT(--(LEFT('8. Transfers'!$H$9:$H$108,7)=$A230),--('8. Transfers'!$J$9:$J$108="Matched"))+SUMPRODUCT(--(LEFT('8. Transfers'!$I$9:$I$108,7)=$A230),--('8. Transfers'!$J$9:$J$108="Matched"))+IF($O230="",0,COUNTIFS('9. Payroll Allocation'!$B$234:$B$253,$O230,'9. Payroll Allocation'!$H$234:$H$253,"Tied out"))&gt;0,"Linked","MISSING DETAIL")))</f>
        <v/>
      </c>
      <c r="T230" s="58" t="str">
        <f t="shared" si="34"/>
        <v/>
      </c>
      <c r="U230" s="59" t="str">
        <f>IF($T230="","",COUNTIF($T$6:$T230,"?*"))</f>
        <v/>
      </c>
      <c r="V230" s="58" t="str">
        <f t="shared" si="35"/>
        <v/>
      </c>
    </row>
    <row r="231" spans="1:22" ht="12.95" customHeight="1" x14ac:dyDescent="0.25">
      <c r="A231" s="60" t="str">
        <f t="shared" si="27"/>
        <v/>
      </c>
      <c r="B231" s="37"/>
      <c r="C231" s="28"/>
      <c r="D231" s="35"/>
      <c r="E231" s="38"/>
      <c r="F231" s="38"/>
      <c r="G231" s="60" t="str">
        <f t="shared" si="28"/>
        <v/>
      </c>
      <c r="H231" s="61" t="str">
        <f t="shared" si="29"/>
        <v/>
      </c>
      <c r="I231" s="40"/>
      <c r="J231" s="62" t="str">
        <f t="shared" si="30"/>
        <v/>
      </c>
      <c r="K231" s="45" t="str">
        <f t="shared" si="31"/>
        <v/>
      </c>
      <c r="L231" s="55"/>
      <c r="M231" s="63">
        <f t="shared" si="32"/>
        <v>0</v>
      </c>
      <c r="N231" s="63">
        <f t="shared" si="33"/>
        <v>0</v>
      </c>
      <c r="O231" s="57"/>
      <c r="P231" s="40"/>
      <c r="Q231" s="60" t="str">
        <f>IF($D231="","",IF($K231&lt;&gt;"Balance Sheet / Clearing","-",IF(SUMPRODUCT(--(LEFT('7. Settlements'!$J$8:$J$107,7)=$A231),--('7. Settlements'!$M$8:$M$107="Tied out"))+SUMPRODUCT(--(LEFT('8. Transfers'!$H$9:$H$108,7)=$A231),--('8. Transfers'!$J$9:$J$108="Matched"))+SUMPRODUCT(--(LEFT('8. Transfers'!$I$9:$I$108,7)=$A231),--('8. Transfers'!$J$9:$J$108="Matched"))+IF($O231="",0,COUNTIFS('9. Payroll Allocation'!$B$234:$B$253,$O231,'9. Payroll Allocation'!$H$234:$H$253,"Tied out"))&gt;0,"Linked","MISSING DETAIL")))</f>
        <v/>
      </c>
      <c r="T231" s="58" t="str">
        <f t="shared" si="34"/>
        <v/>
      </c>
      <c r="U231" s="59" t="str">
        <f>IF($T231="","",COUNTIF($T$6:$T231,"?*"))</f>
        <v/>
      </c>
      <c r="V231" s="58" t="str">
        <f t="shared" si="35"/>
        <v/>
      </c>
    </row>
    <row r="232" spans="1:22" ht="12.95" customHeight="1" x14ac:dyDescent="0.25">
      <c r="A232" s="52" t="str">
        <f t="shared" si="27"/>
        <v/>
      </c>
      <c r="B232" s="37"/>
      <c r="C232" s="28"/>
      <c r="D232" s="35"/>
      <c r="E232" s="38"/>
      <c r="F232" s="38"/>
      <c r="G232" s="52" t="str">
        <f t="shared" si="28"/>
        <v/>
      </c>
      <c r="H232" s="53" t="str">
        <f t="shared" si="29"/>
        <v/>
      </c>
      <c r="I232" s="40"/>
      <c r="J232" s="54" t="str">
        <f t="shared" si="30"/>
        <v/>
      </c>
      <c r="K232" s="41" t="str">
        <f t="shared" si="31"/>
        <v/>
      </c>
      <c r="L232" s="55"/>
      <c r="M232" s="56">
        <f t="shared" si="32"/>
        <v>0</v>
      </c>
      <c r="N232" s="56">
        <f t="shared" si="33"/>
        <v>0</v>
      </c>
      <c r="O232" s="57"/>
      <c r="P232" s="40"/>
      <c r="Q232" s="52" t="str">
        <f>IF($D232="","",IF($K232&lt;&gt;"Balance Sheet / Clearing","-",IF(SUMPRODUCT(--(LEFT('7. Settlements'!$J$8:$J$107,7)=$A232),--('7. Settlements'!$M$8:$M$107="Tied out"))+SUMPRODUCT(--(LEFT('8. Transfers'!$H$9:$H$108,7)=$A232),--('8. Transfers'!$J$9:$J$108="Matched"))+SUMPRODUCT(--(LEFT('8. Transfers'!$I$9:$I$108,7)=$A232),--('8. Transfers'!$J$9:$J$108="Matched"))+IF($O232="",0,COUNTIFS('9. Payroll Allocation'!$B$234:$B$253,$O232,'9. Payroll Allocation'!$H$234:$H$253,"Tied out"))&gt;0,"Linked","MISSING DETAIL")))</f>
        <v/>
      </c>
      <c r="T232" s="58" t="str">
        <f t="shared" si="34"/>
        <v/>
      </c>
      <c r="U232" s="59" t="str">
        <f>IF($T232="","",COUNTIF($T$6:$T232,"?*"))</f>
        <v/>
      </c>
      <c r="V232" s="58" t="str">
        <f t="shared" si="35"/>
        <v/>
      </c>
    </row>
    <row r="233" spans="1:22" ht="12.95" customHeight="1" x14ac:dyDescent="0.25">
      <c r="A233" s="60" t="str">
        <f t="shared" si="27"/>
        <v/>
      </c>
      <c r="B233" s="37"/>
      <c r="C233" s="28"/>
      <c r="D233" s="35"/>
      <c r="E233" s="38"/>
      <c r="F233" s="38"/>
      <c r="G233" s="60" t="str">
        <f t="shared" si="28"/>
        <v/>
      </c>
      <c r="H233" s="61" t="str">
        <f t="shared" si="29"/>
        <v/>
      </c>
      <c r="I233" s="40"/>
      <c r="J233" s="62" t="str">
        <f t="shared" si="30"/>
        <v/>
      </c>
      <c r="K233" s="45" t="str">
        <f t="shared" si="31"/>
        <v/>
      </c>
      <c r="L233" s="55"/>
      <c r="M233" s="63">
        <f t="shared" si="32"/>
        <v>0</v>
      </c>
      <c r="N233" s="63">
        <f t="shared" si="33"/>
        <v>0</v>
      </c>
      <c r="O233" s="57"/>
      <c r="P233" s="40"/>
      <c r="Q233" s="60" t="str">
        <f>IF($D233="","",IF($K233&lt;&gt;"Balance Sheet / Clearing","-",IF(SUMPRODUCT(--(LEFT('7. Settlements'!$J$8:$J$107,7)=$A233),--('7. Settlements'!$M$8:$M$107="Tied out"))+SUMPRODUCT(--(LEFT('8. Transfers'!$H$9:$H$108,7)=$A233),--('8. Transfers'!$J$9:$J$108="Matched"))+SUMPRODUCT(--(LEFT('8. Transfers'!$I$9:$I$108,7)=$A233),--('8. Transfers'!$J$9:$J$108="Matched"))+IF($O233="",0,COUNTIFS('9. Payroll Allocation'!$B$234:$B$253,$O233,'9. Payroll Allocation'!$H$234:$H$253,"Tied out"))&gt;0,"Linked","MISSING DETAIL")))</f>
        <v/>
      </c>
      <c r="T233" s="58" t="str">
        <f t="shared" si="34"/>
        <v/>
      </c>
      <c r="U233" s="59" t="str">
        <f>IF($T233="","",COUNTIF($T$6:$T233,"?*"))</f>
        <v/>
      </c>
      <c r="V233" s="58" t="str">
        <f t="shared" si="35"/>
        <v/>
      </c>
    </row>
    <row r="234" spans="1:22" ht="12.95" customHeight="1" x14ac:dyDescent="0.25">
      <c r="A234" s="52" t="str">
        <f t="shared" si="27"/>
        <v/>
      </c>
      <c r="B234" s="37"/>
      <c r="C234" s="28"/>
      <c r="D234" s="35"/>
      <c r="E234" s="38"/>
      <c r="F234" s="38"/>
      <c r="G234" s="52" t="str">
        <f t="shared" si="28"/>
        <v/>
      </c>
      <c r="H234" s="53" t="str">
        <f t="shared" si="29"/>
        <v/>
      </c>
      <c r="I234" s="40"/>
      <c r="J234" s="54" t="str">
        <f t="shared" si="30"/>
        <v/>
      </c>
      <c r="K234" s="41" t="str">
        <f t="shared" si="31"/>
        <v/>
      </c>
      <c r="L234" s="55"/>
      <c r="M234" s="56">
        <f t="shared" si="32"/>
        <v>0</v>
      </c>
      <c r="N234" s="56">
        <f t="shared" si="33"/>
        <v>0</v>
      </c>
      <c r="O234" s="57"/>
      <c r="P234" s="40"/>
      <c r="Q234" s="52" t="str">
        <f>IF($D234="","",IF($K234&lt;&gt;"Balance Sheet / Clearing","-",IF(SUMPRODUCT(--(LEFT('7. Settlements'!$J$8:$J$107,7)=$A234),--('7. Settlements'!$M$8:$M$107="Tied out"))+SUMPRODUCT(--(LEFT('8. Transfers'!$H$9:$H$108,7)=$A234),--('8. Transfers'!$J$9:$J$108="Matched"))+SUMPRODUCT(--(LEFT('8. Transfers'!$I$9:$I$108,7)=$A234),--('8. Transfers'!$J$9:$J$108="Matched"))+IF($O234="",0,COUNTIFS('9. Payroll Allocation'!$B$234:$B$253,$O234,'9. Payroll Allocation'!$H$234:$H$253,"Tied out"))&gt;0,"Linked","MISSING DETAIL")))</f>
        <v/>
      </c>
      <c r="T234" s="58" t="str">
        <f t="shared" si="34"/>
        <v/>
      </c>
      <c r="U234" s="59" t="str">
        <f>IF($T234="","",COUNTIF($T$6:$T234,"?*"))</f>
        <v/>
      </c>
      <c r="V234" s="58" t="str">
        <f t="shared" si="35"/>
        <v/>
      </c>
    </row>
    <row r="235" spans="1:22" ht="12.95" customHeight="1" x14ac:dyDescent="0.25">
      <c r="A235" s="60" t="str">
        <f t="shared" si="27"/>
        <v/>
      </c>
      <c r="B235" s="37"/>
      <c r="C235" s="28"/>
      <c r="D235" s="35"/>
      <c r="E235" s="38"/>
      <c r="F235" s="38"/>
      <c r="G235" s="60" t="str">
        <f t="shared" si="28"/>
        <v/>
      </c>
      <c r="H235" s="61" t="str">
        <f t="shared" si="29"/>
        <v/>
      </c>
      <c r="I235" s="40"/>
      <c r="J235" s="62" t="str">
        <f t="shared" si="30"/>
        <v/>
      </c>
      <c r="K235" s="45" t="str">
        <f t="shared" si="31"/>
        <v/>
      </c>
      <c r="L235" s="55"/>
      <c r="M235" s="63">
        <f t="shared" si="32"/>
        <v>0</v>
      </c>
      <c r="N235" s="63">
        <f t="shared" si="33"/>
        <v>0</v>
      </c>
      <c r="O235" s="57"/>
      <c r="P235" s="40"/>
      <c r="Q235" s="60" t="str">
        <f>IF($D235="","",IF($K235&lt;&gt;"Balance Sheet / Clearing","-",IF(SUMPRODUCT(--(LEFT('7. Settlements'!$J$8:$J$107,7)=$A235),--('7. Settlements'!$M$8:$M$107="Tied out"))+SUMPRODUCT(--(LEFT('8. Transfers'!$H$9:$H$108,7)=$A235),--('8. Transfers'!$J$9:$J$108="Matched"))+SUMPRODUCT(--(LEFT('8. Transfers'!$I$9:$I$108,7)=$A235),--('8. Transfers'!$J$9:$J$108="Matched"))+IF($O235="",0,COUNTIFS('9. Payroll Allocation'!$B$234:$B$253,$O235,'9. Payroll Allocation'!$H$234:$H$253,"Tied out"))&gt;0,"Linked","MISSING DETAIL")))</f>
        <v/>
      </c>
      <c r="T235" s="58" t="str">
        <f t="shared" si="34"/>
        <v/>
      </c>
      <c r="U235" s="59" t="str">
        <f>IF($T235="","",COUNTIF($T$6:$T235,"?*"))</f>
        <v/>
      </c>
      <c r="V235" s="58" t="str">
        <f t="shared" si="35"/>
        <v/>
      </c>
    </row>
    <row r="236" spans="1:22" ht="12.95" customHeight="1" x14ac:dyDescent="0.25">
      <c r="A236" s="52" t="str">
        <f t="shared" si="27"/>
        <v/>
      </c>
      <c r="B236" s="37"/>
      <c r="C236" s="28"/>
      <c r="D236" s="35"/>
      <c r="E236" s="38"/>
      <c r="F236" s="38"/>
      <c r="G236" s="52" t="str">
        <f t="shared" si="28"/>
        <v/>
      </c>
      <c r="H236" s="53" t="str">
        <f t="shared" si="29"/>
        <v/>
      </c>
      <c r="I236" s="40"/>
      <c r="J236" s="54" t="str">
        <f t="shared" si="30"/>
        <v/>
      </c>
      <c r="K236" s="41" t="str">
        <f t="shared" si="31"/>
        <v/>
      </c>
      <c r="L236" s="55"/>
      <c r="M236" s="56">
        <f t="shared" si="32"/>
        <v>0</v>
      </c>
      <c r="N236" s="56">
        <f t="shared" si="33"/>
        <v>0</v>
      </c>
      <c r="O236" s="57"/>
      <c r="P236" s="40"/>
      <c r="Q236" s="52" t="str">
        <f>IF($D236="","",IF($K236&lt;&gt;"Balance Sheet / Clearing","-",IF(SUMPRODUCT(--(LEFT('7. Settlements'!$J$8:$J$107,7)=$A236),--('7. Settlements'!$M$8:$M$107="Tied out"))+SUMPRODUCT(--(LEFT('8. Transfers'!$H$9:$H$108,7)=$A236),--('8. Transfers'!$J$9:$J$108="Matched"))+SUMPRODUCT(--(LEFT('8. Transfers'!$I$9:$I$108,7)=$A236),--('8. Transfers'!$J$9:$J$108="Matched"))+IF($O236="",0,COUNTIFS('9. Payroll Allocation'!$B$234:$B$253,$O236,'9. Payroll Allocation'!$H$234:$H$253,"Tied out"))&gt;0,"Linked","MISSING DETAIL")))</f>
        <v/>
      </c>
      <c r="T236" s="58" t="str">
        <f t="shared" si="34"/>
        <v/>
      </c>
      <c r="U236" s="59" t="str">
        <f>IF($T236="","",COUNTIF($T$6:$T236,"?*"))</f>
        <v/>
      </c>
      <c r="V236" s="58" t="str">
        <f t="shared" si="35"/>
        <v/>
      </c>
    </row>
    <row r="237" spans="1:22" ht="12.95" customHeight="1" x14ac:dyDescent="0.25">
      <c r="A237" s="60" t="str">
        <f t="shared" si="27"/>
        <v/>
      </c>
      <c r="B237" s="37"/>
      <c r="C237" s="28"/>
      <c r="D237" s="35"/>
      <c r="E237" s="38"/>
      <c r="F237" s="38"/>
      <c r="G237" s="60" t="str">
        <f t="shared" si="28"/>
        <v/>
      </c>
      <c r="H237" s="61" t="str">
        <f t="shared" si="29"/>
        <v/>
      </c>
      <c r="I237" s="40"/>
      <c r="J237" s="62" t="str">
        <f t="shared" si="30"/>
        <v/>
      </c>
      <c r="K237" s="45" t="str">
        <f t="shared" si="31"/>
        <v/>
      </c>
      <c r="L237" s="55"/>
      <c r="M237" s="63">
        <f t="shared" si="32"/>
        <v>0</v>
      </c>
      <c r="N237" s="63">
        <f t="shared" si="33"/>
        <v>0</v>
      </c>
      <c r="O237" s="57"/>
      <c r="P237" s="40"/>
      <c r="Q237" s="60" t="str">
        <f>IF($D237="","",IF($K237&lt;&gt;"Balance Sheet / Clearing","-",IF(SUMPRODUCT(--(LEFT('7. Settlements'!$J$8:$J$107,7)=$A237),--('7. Settlements'!$M$8:$M$107="Tied out"))+SUMPRODUCT(--(LEFT('8. Transfers'!$H$9:$H$108,7)=$A237),--('8. Transfers'!$J$9:$J$108="Matched"))+SUMPRODUCT(--(LEFT('8. Transfers'!$I$9:$I$108,7)=$A237),--('8. Transfers'!$J$9:$J$108="Matched"))+IF($O237="",0,COUNTIFS('9. Payroll Allocation'!$B$234:$B$253,$O237,'9. Payroll Allocation'!$H$234:$H$253,"Tied out"))&gt;0,"Linked","MISSING DETAIL")))</f>
        <v/>
      </c>
      <c r="T237" s="58" t="str">
        <f t="shared" si="34"/>
        <v/>
      </c>
      <c r="U237" s="59" t="str">
        <f>IF($T237="","",COUNTIF($T$6:$T237,"?*"))</f>
        <v/>
      </c>
      <c r="V237" s="58" t="str">
        <f t="shared" si="35"/>
        <v/>
      </c>
    </row>
    <row r="238" spans="1:22" ht="12.95" customHeight="1" x14ac:dyDescent="0.25">
      <c r="A238" s="52" t="str">
        <f t="shared" si="27"/>
        <v/>
      </c>
      <c r="B238" s="37"/>
      <c r="C238" s="28"/>
      <c r="D238" s="35"/>
      <c r="E238" s="38"/>
      <c r="F238" s="38"/>
      <c r="G238" s="52" t="str">
        <f t="shared" si="28"/>
        <v/>
      </c>
      <c r="H238" s="53" t="str">
        <f t="shared" si="29"/>
        <v/>
      </c>
      <c r="I238" s="40"/>
      <c r="J238" s="54" t="str">
        <f t="shared" si="30"/>
        <v/>
      </c>
      <c r="K238" s="41" t="str">
        <f t="shared" si="31"/>
        <v/>
      </c>
      <c r="L238" s="55"/>
      <c r="M238" s="56">
        <f t="shared" si="32"/>
        <v>0</v>
      </c>
      <c r="N238" s="56">
        <f t="shared" si="33"/>
        <v>0</v>
      </c>
      <c r="O238" s="57"/>
      <c r="P238" s="40"/>
      <c r="Q238" s="52" t="str">
        <f>IF($D238="","",IF($K238&lt;&gt;"Balance Sheet / Clearing","-",IF(SUMPRODUCT(--(LEFT('7. Settlements'!$J$8:$J$107,7)=$A238),--('7. Settlements'!$M$8:$M$107="Tied out"))+SUMPRODUCT(--(LEFT('8. Transfers'!$H$9:$H$108,7)=$A238),--('8. Transfers'!$J$9:$J$108="Matched"))+SUMPRODUCT(--(LEFT('8. Transfers'!$I$9:$I$108,7)=$A238),--('8. Transfers'!$J$9:$J$108="Matched"))+IF($O238="",0,COUNTIFS('9. Payroll Allocation'!$B$234:$B$253,$O238,'9. Payroll Allocation'!$H$234:$H$253,"Tied out"))&gt;0,"Linked","MISSING DETAIL")))</f>
        <v/>
      </c>
      <c r="T238" s="58" t="str">
        <f t="shared" si="34"/>
        <v/>
      </c>
      <c r="U238" s="59" t="str">
        <f>IF($T238="","",COUNTIF($T$6:$T238,"?*"))</f>
        <v/>
      </c>
      <c r="V238" s="58" t="str">
        <f t="shared" si="35"/>
        <v/>
      </c>
    </row>
    <row r="239" spans="1:22" ht="12.95" customHeight="1" x14ac:dyDescent="0.25">
      <c r="A239" s="60" t="str">
        <f t="shared" si="27"/>
        <v/>
      </c>
      <c r="B239" s="37"/>
      <c r="C239" s="28"/>
      <c r="D239" s="35"/>
      <c r="E239" s="38"/>
      <c r="F239" s="38"/>
      <c r="G239" s="60" t="str">
        <f t="shared" si="28"/>
        <v/>
      </c>
      <c r="H239" s="61" t="str">
        <f t="shared" si="29"/>
        <v/>
      </c>
      <c r="I239" s="40"/>
      <c r="J239" s="62" t="str">
        <f t="shared" si="30"/>
        <v/>
      </c>
      <c r="K239" s="45" t="str">
        <f t="shared" si="31"/>
        <v/>
      </c>
      <c r="L239" s="55"/>
      <c r="M239" s="63">
        <f t="shared" si="32"/>
        <v>0</v>
      </c>
      <c r="N239" s="63">
        <f t="shared" si="33"/>
        <v>0</v>
      </c>
      <c r="O239" s="57"/>
      <c r="P239" s="40"/>
      <c r="Q239" s="60" t="str">
        <f>IF($D239="","",IF($K239&lt;&gt;"Balance Sheet / Clearing","-",IF(SUMPRODUCT(--(LEFT('7. Settlements'!$J$8:$J$107,7)=$A239),--('7. Settlements'!$M$8:$M$107="Tied out"))+SUMPRODUCT(--(LEFT('8. Transfers'!$H$9:$H$108,7)=$A239),--('8. Transfers'!$J$9:$J$108="Matched"))+SUMPRODUCT(--(LEFT('8. Transfers'!$I$9:$I$108,7)=$A239),--('8. Transfers'!$J$9:$J$108="Matched"))+IF($O239="",0,COUNTIFS('9. Payroll Allocation'!$B$234:$B$253,$O239,'9. Payroll Allocation'!$H$234:$H$253,"Tied out"))&gt;0,"Linked","MISSING DETAIL")))</f>
        <v/>
      </c>
      <c r="T239" s="58" t="str">
        <f t="shared" si="34"/>
        <v/>
      </c>
      <c r="U239" s="59" t="str">
        <f>IF($T239="","",COUNTIF($T$6:$T239,"?*"))</f>
        <v/>
      </c>
      <c r="V239" s="58" t="str">
        <f t="shared" si="35"/>
        <v/>
      </c>
    </row>
    <row r="240" spans="1:22" ht="12.95" customHeight="1" x14ac:dyDescent="0.25">
      <c r="A240" s="52" t="str">
        <f t="shared" si="27"/>
        <v/>
      </c>
      <c r="B240" s="37"/>
      <c r="C240" s="28"/>
      <c r="D240" s="35"/>
      <c r="E240" s="38"/>
      <c r="F240" s="38"/>
      <c r="G240" s="52" t="str">
        <f t="shared" si="28"/>
        <v/>
      </c>
      <c r="H240" s="53" t="str">
        <f t="shared" si="29"/>
        <v/>
      </c>
      <c r="I240" s="40"/>
      <c r="J240" s="54" t="str">
        <f t="shared" si="30"/>
        <v/>
      </c>
      <c r="K240" s="41" t="str">
        <f t="shared" si="31"/>
        <v/>
      </c>
      <c r="L240" s="55"/>
      <c r="M240" s="56">
        <f t="shared" si="32"/>
        <v>0</v>
      </c>
      <c r="N240" s="56">
        <f t="shared" si="33"/>
        <v>0</v>
      </c>
      <c r="O240" s="57"/>
      <c r="P240" s="40"/>
      <c r="Q240" s="52" t="str">
        <f>IF($D240="","",IF($K240&lt;&gt;"Balance Sheet / Clearing","-",IF(SUMPRODUCT(--(LEFT('7. Settlements'!$J$8:$J$107,7)=$A240),--('7. Settlements'!$M$8:$M$107="Tied out"))+SUMPRODUCT(--(LEFT('8. Transfers'!$H$9:$H$108,7)=$A240),--('8. Transfers'!$J$9:$J$108="Matched"))+SUMPRODUCT(--(LEFT('8. Transfers'!$I$9:$I$108,7)=$A240),--('8. Transfers'!$J$9:$J$108="Matched"))+IF($O240="",0,COUNTIFS('9. Payroll Allocation'!$B$234:$B$253,$O240,'9. Payroll Allocation'!$H$234:$H$253,"Tied out"))&gt;0,"Linked","MISSING DETAIL")))</f>
        <v/>
      </c>
      <c r="T240" s="58" t="str">
        <f t="shared" si="34"/>
        <v/>
      </c>
      <c r="U240" s="59" t="str">
        <f>IF($T240="","",COUNTIF($T$6:$T240,"?*"))</f>
        <v/>
      </c>
      <c r="V240" s="58" t="str">
        <f t="shared" si="35"/>
        <v/>
      </c>
    </row>
    <row r="241" spans="1:22" ht="12.95" customHeight="1" x14ac:dyDescent="0.25">
      <c r="A241" s="60" t="str">
        <f t="shared" si="27"/>
        <v/>
      </c>
      <c r="B241" s="37"/>
      <c r="C241" s="28"/>
      <c r="D241" s="35"/>
      <c r="E241" s="38"/>
      <c r="F241" s="38"/>
      <c r="G241" s="60" t="str">
        <f t="shared" si="28"/>
        <v/>
      </c>
      <c r="H241" s="61" t="str">
        <f t="shared" si="29"/>
        <v/>
      </c>
      <c r="I241" s="40"/>
      <c r="J241" s="62" t="str">
        <f t="shared" si="30"/>
        <v/>
      </c>
      <c r="K241" s="45" t="str">
        <f t="shared" si="31"/>
        <v/>
      </c>
      <c r="L241" s="55"/>
      <c r="M241" s="63">
        <f t="shared" si="32"/>
        <v>0</v>
      </c>
      <c r="N241" s="63">
        <f t="shared" si="33"/>
        <v>0</v>
      </c>
      <c r="O241" s="57"/>
      <c r="P241" s="40"/>
      <c r="Q241" s="60" t="str">
        <f>IF($D241="","",IF($K241&lt;&gt;"Balance Sheet / Clearing","-",IF(SUMPRODUCT(--(LEFT('7. Settlements'!$J$8:$J$107,7)=$A241),--('7. Settlements'!$M$8:$M$107="Tied out"))+SUMPRODUCT(--(LEFT('8. Transfers'!$H$9:$H$108,7)=$A241),--('8. Transfers'!$J$9:$J$108="Matched"))+SUMPRODUCT(--(LEFT('8. Transfers'!$I$9:$I$108,7)=$A241),--('8. Transfers'!$J$9:$J$108="Matched"))+IF($O241="",0,COUNTIFS('9. Payroll Allocation'!$B$234:$B$253,$O241,'9. Payroll Allocation'!$H$234:$H$253,"Tied out"))&gt;0,"Linked","MISSING DETAIL")))</f>
        <v/>
      </c>
      <c r="T241" s="58" t="str">
        <f t="shared" si="34"/>
        <v/>
      </c>
      <c r="U241" s="59" t="str">
        <f>IF($T241="","",COUNTIF($T$6:$T241,"?*"))</f>
        <v/>
      </c>
      <c r="V241" s="58" t="str">
        <f t="shared" si="35"/>
        <v/>
      </c>
    </row>
    <row r="242" spans="1:22" ht="12.95" customHeight="1" x14ac:dyDescent="0.25">
      <c r="A242" s="52" t="str">
        <f t="shared" si="27"/>
        <v/>
      </c>
      <c r="B242" s="37"/>
      <c r="C242" s="28"/>
      <c r="D242" s="35"/>
      <c r="E242" s="38"/>
      <c r="F242" s="38"/>
      <c r="G242" s="52" t="str">
        <f t="shared" si="28"/>
        <v/>
      </c>
      <c r="H242" s="53" t="str">
        <f t="shared" si="29"/>
        <v/>
      </c>
      <c r="I242" s="40"/>
      <c r="J242" s="54" t="str">
        <f t="shared" si="30"/>
        <v/>
      </c>
      <c r="K242" s="41" t="str">
        <f t="shared" si="31"/>
        <v/>
      </c>
      <c r="L242" s="55"/>
      <c r="M242" s="56">
        <f t="shared" si="32"/>
        <v>0</v>
      </c>
      <c r="N242" s="56">
        <f t="shared" si="33"/>
        <v>0</v>
      </c>
      <c r="O242" s="57"/>
      <c r="P242" s="40"/>
      <c r="Q242" s="52" t="str">
        <f>IF($D242="","",IF($K242&lt;&gt;"Balance Sheet / Clearing","-",IF(SUMPRODUCT(--(LEFT('7. Settlements'!$J$8:$J$107,7)=$A242),--('7. Settlements'!$M$8:$M$107="Tied out"))+SUMPRODUCT(--(LEFT('8. Transfers'!$H$9:$H$108,7)=$A242),--('8. Transfers'!$J$9:$J$108="Matched"))+SUMPRODUCT(--(LEFT('8. Transfers'!$I$9:$I$108,7)=$A242),--('8. Transfers'!$J$9:$J$108="Matched"))+IF($O242="",0,COUNTIFS('9. Payroll Allocation'!$B$234:$B$253,$O242,'9. Payroll Allocation'!$H$234:$H$253,"Tied out"))&gt;0,"Linked","MISSING DETAIL")))</f>
        <v/>
      </c>
      <c r="T242" s="58" t="str">
        <f t="shared" si="34"/>
        <v/>
      </c>
      <c r="U242" s="59" t="str">
        <f>IF($T242="","",COUNTIF($T$6:$T242,"?*"))</f>
        <v/>
      </c>
      <c r="V242" s="58" t="str">
        <f t="shared" si="35"/>
        <v/>
      </c>
    </row>
    <row r="243" spans="1:22" ht="12.95" customHeight="1" x14ac:dyDescent="0.25">
      <c r="A243" s="60" t="str">
        <f t="shared" si="27"/>
        <v/>
      </c>
      <c r="B243" s="37"/>
      <c r="C243" s="28"/>
      <c r="D243" s="35"/>
      <c r="E243" s="38"/>
      <c r="F243" s="38"/>
      <c r="G243" s="60" t="str">
        <f t="shared" si="28"/>
        <v/>
      </c>
      <c r="H243" s="61" t="str">
        <f t="shared" si="29"/>
        <v/>
      </c>
      <c r="I243" s="40"/>
      <c r="J243" s="62" t="str">
        <f t="shared" si="30"/>
        <v/>
      </c>
      <c r="K243" s="45" t="str">
        <f t="shared" si="31"/>
        <v/>
      </c>
      <c r="L243" s="55"/>
      <c r="M243" s="63">
        <f t="shared" si="32"/>
        <v>0</v>
      </c>
      <c r="N243" s="63">
        <f t="shared" si="33"/>
        <v>0</v>
      </c>
      <c r="O243" s="57"/>
      <c r="P243" s="40"/>
      <c r="Q243" s="60" t="str">
        <f>IF($D243="","",IF($K243&lt;&gt;"Balance Sheet / Clearing","-",IF(SUMPRODUCT(--(LEFT('7. Settlements'!$J$8:$J$107,7)=$A243),--('7. Settlements'!$M$8:$M$107="Tied out"))+SUMPRODUCT(--(LEFT('8. Transfers'!$H$9:$H$108,7)=$A243),--('8. Transfers'!$J$9:$J$108="Matched"))+SUMPRODUCT(--(LEFT('8. Transfers'!$I$9:$I$108,7)=$A243),--('8. Transfers'!$J$9:$J$108="Matched"))+IF($O243="",0,COUNTIFS('9. Payroll Allocation'!$B$234:$B$253,$O243,'9. Payroll Allocation'!$H$234:$H$253,"Tied out"))&gt;0,"Linked","MISSING DETAIL")))</f>
        <v/>
      </c>
      <c r="T243" s="58" t="str">
        <f t="shared" si="34"/>
        <v/>
      </c>
      <c r="U243" s="59" t="str">
        <f>IF($T243="","",COUNTIF($T$6:$T243,"?*"))</f>
        <v/>
      </c>
      <c r="V243" s="58" t="str">
        <f t="shared" si="35"/>
        <v/>
      </c>
    </row>
    <row r="244" spans="1:22" ht="12.95" customHeight="1" x14ac:dyDescent="0.25">
      <c r="A244" s="52" t="str">
        <f t="shared" si="27"/>
        <v/>
      </c>
      <c r="B244" s="37"/>
      <c r="C244" s="28"/>
      <c r="D244" s="35"/>
      <c r="E244" s="38"/>
      <c r="F244" s="38"/>
      <c r="G244" s="52" t="str">
        <f t="shared" si="28"/>
        <v/>
      </c>
      <c r="H244" s="53" t="str">
        <f t="shared" si="29"/>
        <v/>
      </c>
      <c r="I244" s="40"/>
      <c r="J244" s="54" t="str">
        <f t="shared" si="30"/>
        <v/>
      </c>
      <c r="K244" s="41" t="str">
        <f t="shared" si="31"/>
        <v/>
      </c>
      <c r="L244" s="55"/>
      <c r="M244" s="56">
        <f t="shared" si="32"/>
        <v>0</v>
      </c>
      <c r="N244" s="56">
        <f t="shared" si="33"/>
        <v>0</v>
      </c>
      <c r="O244" s="57"/>
      <c r="P244" s="40"/>
      <c r="Q244" s="52" t="str">
        <f>IF($D244="","",IF($K244&lt;&gt;"Balance Sheet / Clearing","-",IF(SUMPRODUCT(--(LEFT('7. Settlements'!$J$8:$J$107,7)=$A244),--('7. Settlements'!$M$8:$M$107="Tied out"))+SUMPRODUCT(--(LEFT('8. Transfers'!$H$9:$H$108,7)=$A244),--('8. Transfers'!$J$9:$J$108="Matched"))+SUMPRODUCT(--(LEFT('8. Transfers'!$I$9:$I$108,7)=$A244),--('8. Transfers'!$J$9:$J$108="Matched"))+IF($O244="",0,COUNTIFS('9. Payroll Allocation'!$B$234:$B$253,$O244,'9. Payroll Allocation'!$H$234:$H$253,"Tied out"))&gt;0,"Linked","MISSING DETAIL")))</f>
        <v/>
      </c>
      <c r="T244" s="58" t="str">
        <f t="shared" si="34"/>
        <v/>
      </c>
      <c r="U244" s="59" t="str">
        <f>IF($T244="","",COUNTIF($T$6:$T244,"?*"))</f>
        <v/>
      </c>
      <c r="V244" s="58" t="str">
        <f t="shared" si="35"/>
        <v/>
      </c>
    </row>
    <row r="245" spans="1:22" ht="12.95" customHeight="1" x14ac:dyDescent="0.25">
      <c r="A245" s="60" t="str">
        <f t="shared" si="27"/>
        <v/>
      </c>
      <c r="B245" s="37"/>
      <c r="C245" s="28"/>
      <c r="D245" s="35"/>
      <c r="E245" s="38"/>
      <c r="F245" s="38"/>
      <c r="G245" s="60" t="str">
        <f t="shared" si="28"/>
        <v/>
      </c>
      <c r="H245" s="61" t="str">
        <f t="shared" si="29"/>
        <v/>
      </c>
      <c r="I245" s="40"/>
      <c r="J245" s="62" t="str">
        <f t="shared" si="30"/>
        <v/>
      </c>
      <c r="K245" s="45" t="str">
        <f t="shared" si="31"/>
        <v/>
      </c>
      <c r="L245" s="55"/>
      <c r="M245" s="63">
        <f t="shared" si="32"/>
        <v>0</v>
      </c>
      <c r="N245" s="63">
        <f t="shared" si="33"/>
        <v>0</v>
      </c>
      <c r="O245" s="57"/>
      <c r="P245" s="40"/>
      <c r="Q245" s="60" t="str">
        <f>IF($D245="","",IF($K245&lt;&gt;"Balance Sheet / Clearing","-",IF(SUMPRODUCT(--(LEFT('7. Settlements'!$J$8:$J$107,7)=$A245),--('7. Settlements'!$M$8:$M$107="Tied out"))+SUMPRODUCT(--(LEFT('8. Transfers'!$H$9:$H$108,7)=$A245),--('8. Transfers'!$J$9:$J$108="Matched"))+SUMPRODUCT(--(LEFT('8. Transfers'!$I$9:$I$108,7)=$A245),--('8. Transfers'!$J$9:$J$108="Matched"))+IF($O245="",0,COUNTIFS('9. Payroll Allocation'!$B$234:$B$253,$O245,'9. Payroll Allocation'!$H$234:$H$253,"Tied out"))&gt;0,"Linked","MISSING DETAIL")))</f>
        <v/>
      </c>
      <c r="T245" s="58" t="str">
        <f t="shared" si="34"/>
        <v/>
      </c>
      <c r="U245" s="59" t="str">
        <f>IF($T245="","",COUNTIF($T$6:$T245,"?*"))</f>
        <v/>
      </c>
      <c r="V245" s="58" t="str">
        <f t="shared" si="35"/>
        <v/>
      </c>
    </row>
    <row r="246" spans="1:22" ht="12.95" customHeight="1" x14ac:dyDescent="0.25">
      <c r="A246" s="52" t="str">
        <f t="shared" si="27"/>
        <v/>
      </c>
      <c r="B246" s="37"/>
      <c r="C246" s="28"/>
      <c r="D246" s="35"/>
      <c r="E246" s="38"/>
      <c r="F246" s="38"/>
      <c r="G246" s="52" t="str">
        <f t="shared" si="28"/>
        <v/>
      </c>
      <c r="H246" s="53" t="str">
        <f t="shared" si="29"/>
        <v/>
      </c>
      <c r="I246" s="40"/>
      <c r="J246" s="54" t="str">
        <f t="shared" si="30"/>
        <v/>
      </c>
      <c r="K246" s="41" t="str">
        <f t="shared" si="31"/>
        <v/>
      </c>
      <c r="L246" s="55"/>
      <c r="M246" s="56">
        <f t="shared" si="32"/>
        <v>0</v>
      </c>
      <c r="N246" s="56">
        <f t="shared" si="33"/>
        <v>0</v>
      </c>
      <c r="O246" s="57"/>
      <c r="P246" s="40"/>
      <c r="Q246" s="52" t="str">
        <f>IF($D246="","",IF($K246&lt;&gt;"Balance Sheet / Clearing","-",IF(SUMPRODUCT(--(LEFT('7. Settlements'!$J$8:$J$107,7)=$A246),--('7. Settlements'!$M$8:$M$107="Tied out"))+SUMPRODUCT(--(LEFT('8. Transfers'!$H$9:$H$108,7)=$A246),--('8. Transfers'!$J$9:$J$108="Matched"))+SUMPRODUCT(--(LEFT('8. Transfers'!$I$9:$I$108,7)=$A246),--('8. Transfers'!$J$9:$J$108="Matched"))+IF($O246="",0,COUNTIFS('9. Payroll Allocation'!$B$234:$B$253,$O246,'9. Payroll Allocation'!$H$234:$H$253,"Tied out"))&gt;0,"Linked","MISSING DETAIL")))</f>
        <v/>
      </c>
      <c r="T246" s="58" t="str">
        <f t="shared" si="34"/>
        <v/>
      </c>
      <c r="U246" s="59" t="str">
        <f>IF($T246="","",COUNTIF($T$6:$T246,"?*"))</f>
        <v/>
      </c>
      <c r="V246" s="58" t="str">
        <f t="shared" si="35"/>
        <v/>
      </c>
    </row>
    <row r="247" spans="1:22" ht="12.95" customHeight="1" x14ac:dyDescent="0.25">
      <c r="A247" s="60" t="str">
        <f t="shared" si="27"/>
        <v/>
      </c>
      <c r="B247" s="37"/>
      <c r="C247" s="28"/>
      <c r="D247" s="35"/>
      <c r="E247" s="38"/>
      <c r="F247" s="38"/>
      <c r="G247" s="60" t="str">
        <f t="shared" si="28"/>
        <v/>
      </c>
      <c r="H247" s="61" t="str">
        <f t="shared" si="29"/>
        <v/>
      </c>
      <c r="I247" s="40"/>
      <c r="J247" s="62" t="str">
        <f t="shared" si="30"/>
        <v/>
      </c>
      <c r="K247" s="45" t="str">
        <f t="shared" si="31"/>
        <v/>
      </c>
      <c r="L247" s="55"/>
      <c r="M247" s="63">
        <f t="shared" si="32"/>
        <v>0</v>
      </c>
      <c r="N247" s="63">
        <f t="shared" si="33"/>
        <v>0</v>
      </c>
      <c r="O247" s="57"/>
      <c r="P247" s="40"/>
      <c r="Q247" s="60" t="str">
        <f>IF($D247="","",IF($K247&lt;&gt;"Balance Sheet / Clearing","-",IF(SUMPRODUCT(--(LEFT('7. Settlements'!$J$8:$J$107,7)=$A247),--('7. Settlements'!$M$8:$M$107="Tied out"))+SUMPRODUCT(--(LEFT('8. Transfers'!$H$9:$H$108,7)=$A247),--('8. Transfers'!$J$9:$J$108="Matched"))+SUMPRODUCT(--(LEFT('8. Transfers'!$I$9:$I$108,7)=$A247),--('8. Transfers'!$J$9:$J$108="Matched"))+IF($O247="",0,COUNTIFS('9. Payroll Allocation'!$B$234:$B$253,$O247,'9. Payroll Allocation'!$H$234:$H$253,"Tied out"))&gt;0,"Linked","MISSING DETAIL")))</f>
        <v/>
      </c>
      <c r="T247" s="58" t="str">
        <f t="shared" si="34"/>
        <v/>
      </c>
      <c r="U247" s="59" t="str">
        <f>IF($T247="","",COUNTIF($T$6:$T247,"?*"))</f>
        <v/>
      </c>
      <c r="V247" s="58" t="str">
        <f t="shared" si="35"/>
        <v/>
      </c>
    </row>
    <row r="248" spans="1:22" ht="12.95" customHeight="1" x14ac:dyDescent="0.25">
      <c r="A248" s="52" t="str">
        <f t="shared" si="27"/>
        <v/>
      </c>
      <c r="B248" s="37"/>
      <c r="C248" s="28"/>
      <c r="D248" s="35"/>
      <c r="E248" s="38"/>
      <c r="F248" s="38"/>
      <c r="G248" s="52" t="str">
        <f t="shared" si="28"/>
        <v/>
      </c>
      <c r="H248" s="53" t="str">
        <f t="shared" si="29"/>
        <v/>
      </c>
      <c r="I248" s="40"/>
      <c r="J248" s="54" t="str">
        <f t="shared" si="30"/>
        <v/>
      </c>
      <c r="K248" s="41" t="str">
        <f t="shared" si="31"/>
        <v/>
      </c>
      <c r="L248" s="55"/>
      <c r="M248" s="56">
        <f t="shared" si="32"/>
        <v>0</v>
      </c>
      <c r="N248" s="56">
        <f t="shared" si="33"/>
        <v>0</v>
      </c>
      <c r="O248" s="57"/>
      <c r="P248" s="40"/>
      <c r="Q248" s="52" t="str">
        <f>IF($D248="","",IF($K248&lt;&gt;"Balance Sheet / Clearing","-",IF(SUMPRODUCT(--(LEFT('7. Settlements'!$J$8:$J$107,7)=$A248),--('7. Settlements'!$M$8:$M$107="Tied out"))+SUMPRODUCT(--(LEFT('8. Transfers'!$H$9:$H$108,7)=$A248),--('8. Transfers'!$J$9:$J$108="Matched"))+SUMPRODUCT(--(LEFT('8. Transfers'!$I$9:$I$108,7)=$A248),--('8. Transfers'!$J$9:$J$108="Matched"))+IF($O248="",0,COUNTIFS('9. Payroll Allocation'!$B$234:$B$253,$O248,'9. Payroll Allocation'!$H$234:$H$253,"Tied out"))&gt;0,"Linked","MISSING DETAIL")))</f>
        <v/>
      </c>
      <c r="T248" s="58" t="str">
        <f t="shared" si="34"/>
        <v/>
      </c>
      <c r="U248" s="59" t="str">
        <f>IF($T248="","",COUNTIF($T$6:$T248,"?*"))</f>
        <v/>
      </c>
      <c r="V248" s="58" t="str">
        <f t="shared" si="35"/>
        <v/>
      </c>
    </row>
    <row r="249" spans="1:22" ht="12.95" customHeight="1" x14ac:dyDescent="0.25">
      <c r="A249" s="60" t="str">
        <f t="shared" si="27"/>
        <v/>
      </c>
      <c r="B249" s="37"/>
      <c r="C249" s="28"/>
      <c r="D249" s="35"/>
      <c r="E249" s="38"/>
      <c r="F249" s="38"/>
      <c r="G249" s="60" t="str">
        <f t="shared" si="28"/>
        <v/>
      </c>
      <c r="H249" s="61" t="str">
        <f t="shared" si="29"/>
        <v/>
      </c>
      <c r="I249" s="40"/>
      <c r="J249" s="62" t="str">
        <f t="shared" si="30"/>
        <v/>
      </c>
      <c r="K249" s="45" t="str">
        <f t="shared" si="31"/>
        <v/>
      </c>
      <c r="L249" s="55"/>
      <c r="M249" s="63">
        <f t="shared" si="32"/>
        <v>0</v>
      </c>
      <c r="N249" s="63">
        <f t="shared" si="33"/>
        <v>0</v>
      </c>
      <c r="O249" s="57"/>
      <c r="P249" s="40"/>
      <c r="Q249" s="60" t="str">
        <f>IF($D249="","",IF($K249&lt;&gt;"Balance Sheet / Clearing","-",IF(SUMPRODUCT(--(LEFT('7. Settlements'!$J$8:$J$107,7)=$A249),--('7. Settlements'!$M$8:$M$107="Tied out"))+SUMPRODUCT(--(LEFT('8. Transfers'!$H$9:$H$108,7)=$A249),--('8. Transfers'!$J$9:$J$108="Matched"))+SUMPRODUCT(--(LEFT('8. Transfers'!$I$9:$I$108,7)=$A249),--('8. Transfers'!$J$9:$J$108="Matched"))+IF($O249="",0,COUNTIFS('9. Payroll Allocation'!$B$234:$B$253,$O249,'9. Payroll Allocation'!$H$234:$H$253,"Tied out"))&gt;0,"Linked","MISSING DETAIL")))</f>
        <v/>
      </c>
      <c r="T249" s="58" t="str">
        <f t="shared" si="34"/>
        <v/>
      </c>
      <c r="U249" s="59" t="str">
        <f>IF($T249="","",COUNTIF($T$6:$T249,"?*"))</f>
        <v/>
      </c>
      <c r="V249" s="58" t="str">
        <f t="shared" si="35"/>
        <v/>
      </c>
    </row>
    <row r="250" spans="1:22" ht="12.95" customHeight="1" x14ac:dyDescent="0.25">
      <c r="A250" s="52" t="str">
        <f t="shared" si="27"/>
        <v/>
      </c>
      <c r="B250" s="37"/>
      <c r="C250" s="28"/>
      <c r="D250" s="35"/>
      <c r="E250" s="38"/>
      <c r="F250" s="38"/>
      <c r="G250" s="52" t="str">
        <f t="shared" si="28"/>
        <v/>
      </c>
      <c r="H250" s="53" t="str">
        <f t="shared" si="29"/>
        <v/>
      </c>
      <c r="I250" s="40"/>
      <c r="J250" s="54" t="str">
        <f t="shared" si="30"/>
        <v/>
      </c>
      <c r="K250" s="41" t="str">
        <f t="shared" si="31"/>
        <v/>
      </c>
      <c r="L250" s="55"/>
      <c r="M250" s="56">
        <f t="shared" si="32"/>
        <v>0</v>
      </c>
      <c r="N250" s="56">
        <f t="shared" si="33"/>
        <v>0</v>
      </c>
      <c r="O250" s="57"/>
      <c r="P250" s="40"/>
      <c r="Q250" s="52" t="str">
        <f>IF($D250="","",IF($K250&lt;&gt;"Balance Sheet / Clearing","-",IF(SUMPRODUCT(--(LEFT('7. Settlements'!$J$8:$J$107,7)=$A250),--('7. Settlements'!$M$8:$M$107="Tied out"))+SUMPRODUCT(--(LEFT('8. Transfers'!$H$9:$H$108,7)=$A250),--('8. Transfers'!$J$9:$J$108="Matched"))+SUMPRODUCT(--(LEFT('8. Transfers'!$I$9:$I$108,7)=$A250),--('8. Transfers'!$J$9:$J$108="Matched"))+IF($O250="",0,COUNTIFS('9. Payroll Allocation'!$B$234:$B$253,$O250,'9. Payroll Allocation'!$H$234:$H$253,"Tied out"))&gt;0,"Linked","MISSING DETAIL")))</f>
        <v/>
      </c>
      <c r="T250" s="58" t="str">
        <f t="shared" si="34"/>
        <v/>
      </c>
      <c r="U250" s="59" t="str">
        <f>IF($T250="","",COUNTIF($T$6:$T250,"?*"))</f>
        <v/>
      </c>
      <c r="V250" s="58" t="str">
        <f t="shared" si="35"/>
        <v/>
      </c>
    </row>
    <row r="251" spans="1:22" ht="12.95" customHeight="1" x14ac:dyDescent="0.25">
      <c r="A251" s="60" t="str">
        <f t="shared" si="27"/>
        <v/>
      </c>
      <c r="B251" s="37"/>
      <c r="C251" s="28"/>
      <c r="D251" s="35"/>
      <c r="E251" s="38"/>
      <c r="F251" s="38"/>
      <c r="G251" s="60" t="str">
        <f t="shared" si="28"/>
        <v/>
      </c>
      <c r="H251" s="61" t="str">
        <f t="shared" si="29"/>
        <v/>
      </c>
      <c r="I251" s="40"/>
      <c r="J251" s="62" t="str">
        <f t="shared" si="30"/>
        <v/>
      </c>
      <c r="K251" s="45" t="str">
        <f t="shared" si="31"/>
        <v/>
      </c>
      <c r="L251" s="55"/>
      <c r="M251" s="63">
        <f t="shared" si="32"/>
        <v>0</v>
      </c>
      <c r="N251" s="63">
        <f t="shared" si="33"/>
        <v>0</v>
      </c>
      <c r="O251" s="57"/>
      <c r="P251" s="40"/>
      <c r="Q251" s="60" t="str">
        <f>IF($D251="","",IF($K251&lt;&gt;"Balance Sheet / Clearing","-",IF(SUMPRODUCT(--(LEFT('7. Settlements'!$J$8:$J$107,7)=$A251),--('7. Settlements'!$M$8:$M$107="Tied out"))+SUMPRODUCT(--(LEFT('8. Transfers'!$H$9:$H$108,7)=$A251),--('8. Transfers'!$J$9:$J$108="Matched"))+SUMPRODUCT(--(LEFT('8. Transfers'!$I$9:$I$108,7)=$A251),--('8. Transfers'!$J$9:$J$108="Matched"))+IF($O251="",0,COUNTIFS('9. Payroll Allocation'!$B$234:$B$253,$O251,'9. Payroll Allocation'!$H$234:$H$253,"Tied out"))&gt;0,"Linked","MISSING DETAIL")))</f>
        <v/>
      </c>
      <c r="T251" s="58" t="str">
        <f t="shared" si="34"/>
        <v/>
      </c>
      <c r="U251" s="59" t="str">
        <f>IF($T251="","",COUNTIF($T$6:$T251,"?*"))</f>
        <v/>
      </c>
      <c r="V251" s="58" t="str">
        <f t="shared" si="35"/>
        <v/>
      </c>
    </row>
    <row r="252" spans="1:22" ht="12.95" customHeight="1" x14ac:dyDescent="0.25">
      <c r="A252" s="52" t="str">
        <f t="shared" si="27"/>
        <v/>
      </c>
      <c r="B252" s="37"/>
      <c r="C252" s="28"/>
      <c r="D252" s="35"/>
      <c r="E252" s="38"/>
      <c r="F252" s="38"/>
      <c r="G252" s="52" t="str">
        <f t="shared" si="28"/>
        <v/>
      </c>
      <c r="H252" s="53" t="str">
        <f t="shared" si="29"/>
        <v/>
      </c>
      <c r="I252" s="40"/>
      <c r="J252" s="54" t="str">
        <f t="shared" si="30"/>
        <v/>
      </c>
      <c r="K252" s="41" t="str">
        <f t="shared" si="31"/>
        <v/>
      </c>
      <c r="L252" s="55"/>
      <c r="M252" s="56">
        <f t="shared" si="32"/>
        <v>0</v>
      </c>
      <c r="N252" s="56">
        <f t="shared" si="33"/>
        <v>0</v>
      </c>
      <c r="O252" s="57"/>
      <c r="P252" s="40"/>
      <c r="Q252" s="52" t="str">
        <f>IF($D252="","",IF($K252&lt;&gt;"Balance Sheet / Clearing","-",IF(SUMPRODUCT(--(LEFT('7. Settlements'!$J$8:$J$107,7)=$A252),--('7. Settlements'!$M$8:$M$107="Tied out"))+SUMPRODUCT(--(LEFT('8. Transfers'!$H$9:$H$108,7)=$A252),--('8. Transfers'!$J$9:$J$108="Matched"))+SUMPRODUCT(--(LEFT('8. Transfers'!$I$9:$I$108,7)=$A252),--('8. Transfers'!$J$9:$J$108="Matched"))+IF($O252="",0,COUNTIFS('9. Payroll Allocation'!$B$234:$B$253,$O252,'9. Payroll Allocation'!$H$234:$H$253,"Tied out"))&gt;0,"Linked","MISSING DETAIL")))</f>
        <v/>
      </c>
      <c r="T252" s="58" t="str">
        <f t="shared" si="34"/>
        <v/>
      </c>
      <c r="U252" s="59" t="str">
        <f>IF($T252="","",COUNTIF($T$6:$T252,"?*"))</f>
        <v/>
      </c>
      <c r="V252" s="58" t="str">
        <f t="shared" si="35"/>
        <v/>
      </c>
    </row>
    <row r="253" spans="1:22" ht="12.95" customHeight="1" x14ac:dyDescent="0.25">
      <c r="A253" s="60" t="str">
        <f t="shared" si="27"/>
        <v/>
      </c>
      <c r="B253" s="37"/>
      <c r="C253" s="28"/>
      <c r="D253" s="35"/>
      <c r="E253" s="38"/>
      <c r="F253" s="38"/>
      <c r="G253" s="60" t="str">
        <f t="shared" si="28"/>
        <v/>
      </c>
      <c r="H253" s="61" t="str">
        <f t="shared" si="29"/>
        <v/>
      </c>
      <c r="I253" s="40"/>
      <c r="J253" s="62" t="str">
        <f t="shared" si="30"/>
        <v/>
      </c>
      <c r="K253" s="45" t="str">
        <f t="shared" si="31"/>
        <v/>
      </c>
      <c r="L253" s="55"/>
      <c r="M253" s="63">
        <f t="shared" si="32"/>
        <v>0</v>
      </c>
      <c r="N253" s="63">
        <f t="shared" si="33"/>
        <v>0</v>
      </c>
      <c r="O253" s="57"/>
      <c r="P253" s="40"/>
      <c r="Q253" s="60" t="str">
        <f>IF($D253="","",IF($K253&lt;&gt;"Balance Sheet / Clearing","-",IF(SUMPRODUCT(--(LEFT('7. Settlements'!$J$8:$J$107,7)=$A253),--('7. Settlements'!$M$8:$M$107="Tied out"))+SUMPRODUCT(--(LEFT('8. Transfers'!$H$9:$H$108,7)=$A253),--('8. Transfers'!$J$9:$J$108="Matched"))+SUMPRODUCT(--(LEFT('8. Transfers'!$I$9:$I$108,7)=$A253),--('8. Transfers'!$J$9:$J$108="Matched"))+IF($O253="",0,COUNTIFS('9. Payroll Allocation'!$B$234:$B$253,$O253,'9. Payroll Allocation'!$H$234:$H$253,"Tied out"))&gt;0,"Linked","MISSING DETAIL")))</f>
        <v/>
      </c>
      <c r="T253" s="58" t="str">
        <f t="shared" si="34"/>
        <v/>
      </c>
      <c r="U253" s="59" t="str">
        <f>IF($T253="","",COUNTIF($T$6:$T253,"?*"))</f>
        <v/>
      </c>
      <c r="V253" s="58" t="str">
        <f t="shared" si="35"/>
        <v/>
      </c>
    </row>
    <row r="254" spans="1:22" ht="12.95" customHeight="1" x14ac:dyDescent="0.25">
      <c r="A254" s="52" t="str">
        <f t="shared" si="27"/>
        <v/>
      </c>
      <c r="B254" s="37"/>
      <c r="C254" s="28"/>
      <c r="D254" s="35"/>
      <c r="E254" s="38"/>
      <c r="F254" s="38"/>
      <c r="G254" s="52" t="str">
        <f t="shared" si="28"/>
        <v/>
      </c>
      <c r="H254" s="53" t="str">
        <f t="shared" si="29"/>
        <v/>
      </c>
      <c r="I254" s="40"/>
      <c r="J254" s="54" t="str">
        <f t="shared" si="30"/>
        <v/>
      </c>
      <c r="K254" s="41" t="str">
        <f t="shared" si="31"/>
        <v/>
      </c>
      <c r="L254" s="55"/>
      <c r="M254" s="56">
        <f t="shared" si="32"/>
        <v>0</v>
      </c>
      <c r="N254" s="56">
        <f t="shared" si="33"/>
        <v>0</v>
      </c>
      <c r="O254" s="57"/>
      <c r="P254" s="40"/>
      <c r="Q254" s="52" t="str">
        <f>IF($D254="","",IF($K254&lt;&gt;"Balance Sheet / Clearing","-",IF(SUMPRODUCT(--(LEFT('7. Settlements'!$J$8:$J$107,7)=$A254),--('7. Settlements'!$M$8:$M$107="Tied out"))+SUMPRODUCT(--(LEFT('8. Transfers'!$H$9:$H$108,7)=$A254),--('8. Transfers'!$J$9:$J$108="Matched"))+SUMPRODUCT(--(LEFT('8. Transfers'!$I$9:$I$108,7)=$A254),--('8. Transfers'!$J$9:$J$108="Matched"))+IF($O254="",0,COUNTIFS('9. Payroll Allocation'!$B$234:$B$253,$O254,'9. Payroll Allocation'!$H$234:$H$253,"Tied out"))&gt;0,"Linked","MISSING DETAIL")))</f>
        <v/>
      </c>
      <c r="T254" s="58" t="str">
        <f t="shared" si="34"/>
        <v/>
      </c>
      <c r="U254" s="59" t="str">
        <f>IF($T254="","",COUNTIF($T$6:$T254,"?*"))</f>
        <v/>
      </c>
      <c r="V254" s="58" t="str">
        <f t="shared" si="35"/>
        <v/>
      </c>
    </row>
    <row r="255" spans="1:22" ht="12.95" customHeight="1" x14ac:dyDescent="0.25">
      <c r="A255" s="60" t="str">
        <f t="shared" si="27"/>
        <v/>
      </c>
      <c r="B255" s="37"/>
      <c r="C255" s="28"/>
      <c r="D255" s="35"/>
      <c r="E255" s="38"/>
      <c r="F255" s="38"/>
      <c r="G255" s="60" t="str">
        <f t="shared" si="28"/>
        <v/>
      </c>
      <c r="H255" s="61" t="str">
        <f t="shared" si="29"/>
        <v/>
      </c>
      <c r="I255" s="40"/>
      <c r="J255" s="62" t="str">
        <f t="shared" si="30"/>
        <v/>
      </c>
      <c r="K255" s="45" t="str">
        <f t="shared" si="31"/>
        <v/>
      </c>
      <c r="L255" s="55"/>
      <c r="M255" s="63">
        <f t="shared" si="32"/>
        <v>0</v>
      </c>
      <c r="N255" s="63">
        <f t="shared" si="33"/>
        <v>0</v>
      </c>
      <c r="O255" s="57"/>
      <c r="P255" s="40"/>
      <c r="Q255" s="60" t="str">
        <f>IF($D255="","",IF($K255&lt;&gt;"Balance Sheet / Clearing","-",IF(SUMPRODUCT(--(LEFT('7. Settlements'!$J$8:$J$107,7)=$A255),--('7. Settlements'!$M$8:$M$107="Tied out"))+SUMPRODUCT(--(LEFT('8. Transfers'!$H$9:$H$108,7)=$A255),--('8. Transfers'!$J$9:$J$108="Matched"))+SUMPRODUCT(--(LEFT('8. Transfers'!$I$9:$I$108,7)=$A255),--('8. Transfers'!$J$9:$J$108="Matched"))+IF($O255="",0,COUNTIFS('9. Payroll Allocation'!$B$234:$B$253,$O255,'9. Payroll Allocation'!$H$234:$H$253,"Tied out"))&gt;0,"Linked","MISSING DETAIL")))</f>
        <v/>
      </c>
      <c r="T255" s="58" t="str">
        <f t="shared" si="34"/>
        <v/>
      </c>
      <c r="U255" s="59" t="str">
        <f>IF($T255="","",COUNTIF($T$6:$T255,"?*"))</f>
        <v/>
      </c>
      <c r="V255" s="58" t="str">
        <f t="shared" si="35"/>
        <v/>
      </c>
    </row>
    <row r="256" spans="1:22" ht="12.95" customHeight="1" x14ac:dyDescent="0.25">
      <c r="A256" s="52" t="str">
        <f t="shared" si="27"/>
        <v/>
      </c>
      <c r="B256" s="37"/>
      <c r="C256" s="28"/>
      <c r="D256" s="35"/>
      <c r="E256" s="38"/>
      <c r="F256" s="38"/>
      <c r="G256" s="52" t="str">
        <f t="shared" si="28"/>
        <v/>
      </c>
      <c r="H256" s="53" t="str">
        <f t="shared" si="29"/>
        <v/>
      </c>
      <c r="I256" s="40"/>
      <c r="J256" s="54" t="str">
        <f t="shared" si="30"/>
        <v/>
      </c>
      <c r="K256" s="41" t="str">
        <f t="shared" si="31"/>
        <v/>
      </c>
      <c r="L256" s="55"/>
      <c r="M256" s="56">
        <f t="shared" si="32"/>
        <v>0</v>
      </c>
      <c r="N256" s="56">
        <f t="shared" si="33"/>
        <v>0</v>
      </c>
      <c r="O256" s="57"/>
      <c r="P256" s="40"/>
      <c r="Q256" s="52" t="str">
        <f>IF($D256="","",IF($K256&lt;&gt;"Balance Sheet / Clearing","-",IF(SUMPRODUCT(--(LEFT('7. Settlements'!$J$8:$J$107,7)=$A256),--('7. Settlements'!$M$8:$M$107="Tied out"))+SUMPRODUCT(--(LEFT('8. Transfers'!$H$9:$H$108,7)=$A256),--('8. Transfers'!$J$9:$J$108="Matched"))+SUMPRODUCT(--(LEFT('8. Transfers'!$I$9:$I$108,7)=$A256),--('8. Transfers'!$J$9:$J$108="Matched"))+IF($O256="",0,COUNTIFS('9. Payroll Allocation'!$B$234:$B$253,$O256,'9. Payroll Allocation'!$H$234:$H$253,"Tied out"))&gt;0,"Linked","MISSING DETAIL")))</f>
        <v/>
      </c>
      <c r="T256" s="58" t="str">
        <f t="shared" si="34"/>
        <v/>
      </c>
      <c r="U256" s="59" t="str">
        <f>IF($T256="","",COUNTIF($T$6:$T256,"?*"))</f>
        <v/>
      </c>
      <c r="V256" s="58" t="str">
        <f t="shared" si="35"/>
        <v/>
      </c>
    </row>
    <row r="257" spans="1:22" ht="12.95" customHeight="1" x14ac:dyDescent="0.25">
      <c r="A257" s="60" t="str">
        <f t="shared" si="27"/>
        <v/>
      </c>
      <c r="B257" s="37"/>
      <c r="C257" s="28"/>
      <c r="D257" s="35"/>
      <c r="E257" s="38"/>
      <c r="F257" s="38"/>
      <c r="G257" s="60" t="str">
        <f t="shared" si="28"/>
        <v/>
      </c>
      <c r="H257" s="61" t="str">
        <f t="shared" si="29"/>
        <v/>
      </c>
      <c r="I257" s="40"/>
      <c r="J257" s="62" t="str">
        <f t="shared" si="30"/>
        <v/>
      </c>
      <c r="K257" s="45" t="str">
        <f t="shared" si="31"/>
        <v/>
      </c>
      <c r="L257" s="55"/>
      <c r="M257" s="63">
        <f t="shared" si="32"/>
        <v>0</v>
      </c>
      <c r="N257" s="63">
        <f t="shared" si="33"/>
        <v>0</v>
      </c>
      <c r="O257" s="57"/>
      <c r="P257" s="40"/>
      <c r="Q257" s="60" t="str">
        <f>IF($D257="","",IF($K257&lt;&gt;"Balance Sheet / Clearing","-",IF(SUMPRODUCT(--(LEFT('7. Settlements'!$J$8:$J$107,7)=$A257),--('7. Settlements'!$M$8:$M$107="Tied out"))+SUMPRODUCT(--(LEFT('8. Transfers'!$H$9:$H$108,7)=$A257),--('8. Transfers'!$J$9:$J$108="Matched"))+SUMPRODUCT(--(LEFT('8. Transfers'!$I$9:$I$108,7)=$A257),--('8. Transfers'!$J$9:$J$108="Matched"))+IF($O257="",0,COUNTIFS('9. Payroll Allocation'!$B$234:$B$253,$O257,'9. Payroll Allocation'!$H$234:$H$253,"Tied out"))&gt;0,"Linked","MISSING DETAIL")))</f>
        <v/>
      </c>
      <c r="T257" s="58" t="str">
        <f t="shared" si="34"/>
        <v/>
      </c>
      <c r="U257" s="59" t="str">
        <f>IF($T257="","",COUNTIF($T$6:$T257,"?*"))</f>
        <v/>
      </c>
      <c r="V257" s="58" t="str">
        <f t="shared" si="35"/>
        <v/>
      </c>
    </row>
    <row r="258" spans="1:22" ht="12.95" customHeight="1" x14ac:dyDescent="0.25">
      <c r="A258" s="52" t="str">
        <f t="shared" si="27"/>
        <v/>
      </c>
      <c r="B258" s="37"/>
      <c r="C258" s="28"/>
      <c r="D258" s="35"/>
      <c r="E258" s="38"/>
      <c r="F258" s="38"/>
      <c r="G258" s="52" t="str">
        <f t="shared" si="28"/>
        <v/>
      </c>
      <c r="H258" s="53" t="str">
        <f t="shared" si="29"/>
        <v/>
      </c>
      <c r="I258" s="40"/>
      <c r="J258" s="54" t="str">
        <f t="shared" si="30"/>
        <v/>
      </c>
      <c r="K258" s="41" t="str">
        <f t="shared" si="31"/>
        <v/>
      </c>
      <c r="L258" s="55"/>
      <c r="M258" s="56">
        <f t="shared" si="32"/>
        <v>0</v>
      </c>
      <c r="N258" s="56">
        <f t="shared" si="33"/>
        <v>0</v>
      </c>
      <c r="O258" s="57"/>
      <c r="P258" s="40"/>
      <c r="Q258" s="52" t="str">
        <f>IF($D258="","",IF($K258&lt;&gt;"Balance Sheet / Clearing","-",IF(SUMPRODUCT(--(LEFT('7. Settlements'!$J$8:$J$107,7)=$A258),--('7. Settlements'!$M$8:$M$107="Tied out"))+SUMPRODUCT(--(LEFT('8. Transfers'!$H$9:$H$108,7)=$A258),--('8. Transfers'!$J$9:$J$108="Matched"))+SUMPRODUCT(--(LEFT('8. Transfers'!$I$9:$I$108,7)=$A258),--('8. Transfers'!$J$9:$J$108="Matched"))+IF($O258="",0,COUNTIFS('9. Payroll Allocation'!$B$234:$B$253,$O258,'9. Payroll Allocation'!$H$234:$H$253,"Tied out"))&gt;0,"Linked","MISSING DETAIL")))</f>
        <v/>
      </c>
      <c r="T258" s="58" t="str">
        <f t="shared" si="34"/>
        <v/>
      </c>
      <c r="U258" s="59" t="str">
        <f>IF($T258="","",COUNTIF($T$6:$T258,"?*"))</f>
        <v/>
      </c>
      <c r="V258" s="58" t="str">
        <f t="shared" si="35"/>
        <v/>
      </c>
    </row>
    <row r="259" spans="1:22" ht="12.95" customHeight="1" x14ac:dyDescent="0.25">
      <c r="A259" s="60" t="str">
        <f t="shared" si="27"/>
        <v/>
      </c>
      <c r="B259" s="37"/>
      <c r="C259" s="28"/>
      <c r="D259" s="35"/>
      <c r="E259" s="38"/>
      <c r="F259" s="38"/>
      <c r="G259" s="60" t="str">
        <f t="shared" si="28"/>
        <v/>
      </c>
      <c r="H259" s="61" t="str">
        <f t="shared" si="29"/>
        <v/>
      </c>
      <c r="I259" s="40"/>
      <c r="J259" s="62" t="str">
        <f t="shared" si="30"/>
        <v/>
      </c>
      <c r="K259" s="45" t="str">
        <f t="shared" si="31"/>
        <v/>
      </c>
      <c r="L259" s="55"/>
      <c r="M259" s="63">
        <f t="shared" si="32"/>
        <v>0</v>
      </c>
      <c r="N259" s="63">
        <f t="shared" si="33"/>
        <v>0</v>
      </c>
      <c r="O259" s="57"/>
      <c r="P259" s="40"/>
      <c r="Q259" s="60" t="str">
        <f>IF($D259="","",IF($K259&lt;&gt;"Balance Sheet / Clearing","-",IF(SUMPRODUCT(--(LEFT('7. Settlements'!$J$8:$J$107,7)=$A259),--('7. Settlements'!$M$8:$M$107="Tied out"))+SUMPRODUCT(--(LEFT('8. Transfers'!$H$9:$H$108,7)=$A259),--('8. Transfers'!$J$9:$J$108="Matched"))+SUMPRODUCT(--(LEFT('8. Transfers'!$I$9:$I$108,7)=$A259),--('8. Transfers'!$J$9:$J$108="Matched"))+IF($O259="",0,COUNTIFS('9. Payroll Allocation'!$B$234:$B$253,$O259,'9. Payroll Allocation'!$H$234:$H$253,"Tied out"))&gt;0,"Linked","MISSING DETAIL")))</f>
        <v/>
      </c>
      <c r="T259" s="58" t="str">
        <f t="shared" si="34"/>
        <v/>
      </c>
      <c r="U259" s="59" t="str">
        <f>IF($T259="","",COUNTIF($T$6:$T259,"?*"))</f>
        <v/>
      </c>
      <c r="V259" s="58" t="str">
        <f t="shared" si="35"/>
        <v/>
      </c>
    </row>
    <row r="260" spans="1:22" ht="12.95" customHeight="1" x14ac:dyDescent="0.25">
      <c r="A260" s="52" t="str">
        <f t="shared" si="27"/>
        <v/>
      </c>
      <c r="B260" s="37"/>
      <c r="C260" s="28"/>
      <c r="D260" s="35"/>
      <c r="E260" s="38"/>
      <c r="F260" s="38"/>
      <c r="G260" s="52" t="str">
        <f t="shared" si="28"/>
        <v/>
      </c>
      <c r="H260" s="53" t="str">
        <f t="shared" si="29"/>
        <v/>
      </c>
      <c r="I260" s="40"/>
      <c r="J260" s="54" t="str">
        <f t="shared" si="30"/>
        <v/>
      </c>
      <c r="K260" s="41" t="str">
        <f t="shared" si="31"/>
        <v/>
      </c>
      <c r="L260" s="55"/>
      <c r="M260" s="56">
        <f t="shared" si="32"/>
        <v>0</v>
      </c>
      <c r="N260" s="56">
        <f t="shared" si="33"/>
        <v>0</v>
      </c>
      <c r="O260" s="57"/>
      <c r="P260" s="40"/>
      <c r="Q260" s="52" t="str">
        <f>IF($D260="","",IF($K260&lt;&gt;"Balance Sheet / Clearing","-",IF(SUMPRODUCT(--(LEFT('7. Settlements'!$J$8:$J$107,7)=$A260),--('7. Settlements'!$M$8:$M$107="Tied out"))+SUMPRODUCT(--(LEFT('8. Transfers'!$H$9:$H$108,7)=$A260),--('8. Transfers'!$J$9:$J$108="Matched"))+SUMPRODUCT(--(LEFT('8. Transfers'!$I$9:$I$108,7)=$A260),--('8. Transfers'!$J$9:$J$108="Matched"))+IF($O260="",0,COUNTIFS('9. Payroll Allocation'!$B$234:$B$253,$O260,'9. Payroll Allocation'!$H$234:$H$253,"Tied out"))&gt;0,"Linked","MISSING DETAIL")))</f>
        <v/>
      </c>
      <c r="T260" s="58" t="str">
        <f t="shared" si="34"/>
        <v/>
      </c>
      <c r="U260" s="59" t="str">
        <f>IF($T260="","",COUNTIF($T$6:$T260,"?*"))</f>
        <v/>
      </c>
      <c r="V260" s="58" t="str">
        <f t="shared" si="35"/>
        <v/>
      </c>
    </row>
    <row r="261" spans="1:22" ht="12.95" customHeight="1" x14ac:dyDescent="0.25">
      <c r="A261" s="60" t="str">
        <f t="shared" si="27"/>
        <v/>
      </c>
      <c r="B261" s="37"/>
      <c r="C261" s="28"/>
      <c r="D261" s="35"/>
      <c r="E261" s="38"/>
      <c r="F261" s="38"/>
      <c r="G261" s="60" t="str">
        <f t="shared" si="28"/>
        <v/>
      </c>
      <c r="H261" s="61" t="str">
        <f t="shared" si="29"/>
        <v/>
      </c>
      <c r="I261" s="40"/>
      <c r="J261" s="62" t="str">
        <f t="shared" si="30"/>
        <v/>
      </c>
      <c r="K261" s="45" t="str">
        <f t="shared" si="31"/>
        <v/>
      </c>
      <c r="L261" s="55"/>
      <c r="M261" s="63">
        <f t="shared" si="32"/>
        <v>0</v>
      </c>
      <c r="N261" s="63">
        <f t="shared" si="33"/>
        <v>0</v>
      </c>
      <c r="O261" s="57"/>
      <c r="P261" s="40"/>
      <c r="Q261" s="60" t="str">
        <f>IF($D261="","",IF($K261&lt;&gt;"Balance Sheet / Clearing","-",IF(SUMPRODUCT(--(LEFT('7. Settlements'!$J$8:$J$107,7)=$A261),--('7. Settlements'!$M$8:$M$107="Tied out"))+SUMPRODUCT(--(LEFT('8. Transfers'!$H$9:$H$108,7)=$A261),--('8. Transfers'!$J$9:$J$108="Matched"))+SUMPRODUCT(--(LEFT('8. Transfers'!$I$9:$I$108,7)=$A261),--('8. Transfers'!$J$9:$J$108="Matched"))+IF($O261="",0,COUNTIFS('9. Payroll Allocation'!$B$234:$B$253,$O261,'9. Payroll Allocation'!$H$234:$H$253,"Tied out"))&gt;0,"Linked","MISSING DETAIL")))</f>
        <v/>
      </c>
      <c r="T261" s="58" t="str">
        <f t="shared" si="34"/>
        <v/>
      </c>
      <c r="U261" s="59" t="str">
        <f>IF($T261="","",COUNTIF($T$6:$T261,"?*"))</f>
        <v/>
      </c>
      <c r="V261" s="58" t="str">
        <f t="shared" si="35"/>
        <v/>
      </c>
    </row>
    <row r="262" spans="1:22" ht="12.95" customHeight="1" x14ac:dyDescent="0.25">
      <c r="A262" s="52" t="str">
        <f t="shared" ref="A262:A325" si="36">IF($D262="","","TX-"&amp;TEXT(ROW()-5,"0000"))</f>
        <v/>
      </c>
      <c r="B262" s="37"/>
      <c r="C262" s="28"/>
      <c r="D262" s="35"/>
      <c r="E262" s="38"/>
      <c r="F262" s="38"/>
      <c r="G262" s="52" t="str">
        <f t="shared" ref="G262:G325" si="37">IF($D262="","",IFERROR(_xlfn.AGGREGATE(15,6,Rules_Pri/((ISNUMBER(SEARCH(Rules_Key,$D262)))*(Rules_Key&lt;&gt;"")*(Rules_Active="Yes")*((Rules_Dir="Any")+(Rules_Dir=IF(N($E262)&gt;0,"In","Out")))),1),""))</f>
        <v/>
      </c>
      <c r="H262" s="53" t="str">
        <f t="shared" ref="H262:H325" si="38">IF($D262="","",IF($G262="",IF(N($E262)&gt;0,"Uncategorized Deposit - NEEDS REVIEW","Uncategorized - NEEDS REVIEW"),INDEX(Rules_Cat,MATCH(1,INDEX(((ISNUMBER(SEARCH(Rules_Key,$D262)))*(Rules_Key&lt;&gt;"")*(Rules_Active="Yes")*((Rules_Dir="Any")+(Rules_Dir=IF(N($E262)&gt;0,"In","Out"))))*(Rules_Pri=$G262),0),0))))</f>
        <v/>
      </c>
      <c r="I262" s="40"/>
      <c r="J262" s="54" t="str">
        <f t="shared" ref="J262:J325" si="39">IF($D262="","",IF($I262&lt;&gt;"",$I262,$H262))</f>
        <v/>
      </c>
      <c r="K262" s="41" t="str">
        <f t="shared" ref="K262:K325" si="40">IF($J262="","",IFERROR(INDEX(Cat_Treatment,MATCH($J262,Cat_Name,0)),"Review Required"))</f>
        <v/>
      </c>
      <c r="L262" s="55"/>
      <c r="M262" s="56">
        <f t="shared" ref="M262:M325" si="41">IF($K262&lt;&gt;"Operating Expense",0,IF(AND($L262&lt;&gt;"",OR(N($L262)&lt;0,N($L262)&gt;1)),0,ROUND(N($F262)*IF($L262="",1,$L262),2)))</f>
        <v>0</v>
      </c>
      <c r="N262" s="56">
        <f t="shared" ref="N262:N325" si="42">IF($K262="Operating Revenue",ROUND(N($E262)-N($F262),2),0)</f>
        <v>0</v>
      </c>
      <c r="O262" s="57"/>
      <c r="P262" s="40"/>
      <c r="Q262" s="52" t="str">
        <f>IF($D262="","",IF($K262&lt;&gt;"Balance Sheet / Clearing","-",IF(SUMPRODUCT(--(LEFT('7. Settlements'!$J$8:$J$107,7)=$A262),--('7. Settlements'!$M$8:$M$107="Tied out"))+SUMPRODUCT(--(LEFT('8. Transfers'!$H$9:$H$108,7)=$A262),--('8. Transfers'!$J$9:$J$108="Matched"))+SUMPRODUCT(--(LEFT('8. Transfers'!$I$9:$I$108,7)=$A262),--('8. Transfers'!$J$9:$J$108="Matched"))+IF($O262="",0,COUNTIFS('9. Payroll Allocation'!$B$234:$B$253,$O262,'9. Payroll Allocation'!$H$234:$H$253,"Tied out"))&gt;0,"Linked","MISSING DETAIL")))</f>
        <v/>
      </c>
      <c r="T262" s="58" t="str">
        <f t="shared" ref="T262:T325" si="43">IF(OR($D262="",$K262&lt;&gt;"Balance Sheet / Clearing"),"",$A262&amp;" · "&amp;TEXT($B262,"mm/dd")&amp;" · "&amp;LEFT($D262,24)&amp;" · "&amp;TEXT(N($E262)+N($F262),"#,##0.00"))</f>
        <v/>
      </c>
      <c r="U262" s="59" t="str">
        <f>IF($T262="","",COUNTIF($T$6:$T262,"?*"))</f>
        <v/>
      </c>
      <c r="V262" s="58" t="str">
        <f t="shared" ref="V262:V325" si="44">IFERROR(INDEX($T$6:$T$1005,MATCH(ROW()-5,$U$6:$U$1005,0)),"")</f>
        <v/>
      </c>
    </row>
    <row r="263" spans="1:22" ht="12.95" customHeight="1" x14ac:dyDescent="0.25">
      <c r="A263" s="60" t="str">
        <f t="shared" si="36"/>
        <v/>
      </c>
      <c r="B263" s="37"/>
      <c r="C263" s="28"/>
      <c r="D263" s="35"/>
      <c r="E263" s="38"/>
      <c r="F263" s="38"/>
      <c r="G263" s="60" t="str">
        <f t="shared" si="37"/>
        <v/>
      </c>
      <c r="H263" s="61" t="str">
        <f t="shared" si="38"/>
        <v/>
      </c>
      <c r="I263" s="40"/>
      <c r="J263" s="62" t="str">
        <f t="shared" si="39"/>
        <v/>
      </c>
      <c r="K263" s="45" t="str">
        <f t="shared" si="40"/>
        <v/>
      </c>
      <c r="L263" s="55"/>
      <c r="M263" s="63">
        <f t="shared" si="41"/>
        <v>0</v>
      </c>
      <c r="N263" s="63">
        <f t="shared" si="42"/>
        <v>0</v>
      </c>
      <c r="O263" s="57"/>
      <c r="P263" s="40"/>
      <c r="Q263" s="60" t="str">
        <f>IF($D263="","",IF($K263&lt;&gt;"Balance Sheet / Clearing","-",IF(SUMPRODUCT(--(LEFT('7. Settlements'!$J$8:$J$107,7)=$A263),--('7. Settlements'!$M$8:$M$107="Tied out"))+SUMPRODUCT(--(LEFT('8. Transfers'!$H$9:$H$108,7)=$A263),--('8. Transfers'!$J$9:$J$108="Matched"))+SUMPRODUCT(--(LEFT('8. Transfers'!$I$9:$I$108,7)=$A263),--('8. Transfers'!$J$9:$J$108="Matched"))+IF($O263="",0,COUNTIFS('9. Payroll Allocation'!$B$234:$B$253,$O263,'9. Payroll Allocation'!$H$234:$H$253,"Tied out"))&gt;0,"Linked","MISSING DETAIL")))</f>
        <v/>
      </c>
      <c r="T263" s="58" t="str">
        <f t="shared" si="43"/>
        <v/>
      </c>
      <c r="U263" s="59" t="str">
        <f>IF($T263="","",COUNTIF($T$6:$T263,"?*"))</f>
        <v/>
      </c>
      <c r="V263" s="58" t="str">
        <f t="shared" si="44"/>
        <v/>
      </c>
    </row>
    <row r="264" spans="1:22" ht="12.95" customHeight="1" x14ac:dyDescent="0.25">
      <c r="A264" s="52" t="str">
        <f t="shared" si="36"/>
        <v/>
      </c>
      <c r="B264" s="37"/>
      <c r="C264" s="28"/>
      <c r="D264" s="35"/>
      <c r="E264" s="38"/>
      <c r="F264" s="38"/>
      <c r="G264" s="52" t="str">
        <f t="shared" si="37"/>
        <v/>
      </c>
      <c r="H264" s="53" t="str">
        <f t="shared" si="38"/>
        <v/>
      </c>
      <c r="I264" s="40"/>
      <c r="J264" s="54" t="str">
        <f t="shared" si="39"/>
        <v/>
      </c>
      <c r="K264" s="41" t="str">
        <f t="shared" si="40"/>
        <v/>
      </c>
      <c r="L264" s="55"/>
      <c r="M264" s="56">
        <f t="shared" si="41"/>
        <v>0</v>
      </c>
      <c r="N264" s="56">
        <f t="shared" si="42"/>
        <v>0</v>
      </c>
      <c r="O264" s="57"/>
      <c r="P264" s="40"/>
      <c r="Q264" s="52" t="str">
        <f>IF($D264="","",IF($K264&lt;&gt;"Balance Sheet / Clearing","-",IF(SUMPRODUCT(--(LEFT('7. Settlements'!$J$8:$J$107,7)=$A264),--('7. Settlements'!$M$8:$M$107="Tied out"))+SUMPRODUCT(--(LEFT('8. Transfers'!$H$9:$H$108,7)=$A264),--('8. Transfers'!$J$9:$J$108="Matched"))+SUMPRODUCT(--(LEFT('8. Transfers'!$I$9:$I$108,7)=$A264),--('8. Transfers'!$J$9:$J$108="Matched"))+IF($O264="",0,COUNTIFS('9. Payroll Allocation'!$B$234:$B$253,$O264,'9. Payroll Allocation'!$H$234:$H$253,"Tied out"))&gt;0,"Linked","MISSING DETAIL")))</f>
        <v/>
      </c>
      <c r="T264" s="58" t="str">
        <f t="shared" si="43"/>
        <v/>
      </c>
      <c r="U264" s="59" t="str">
        <f>IF($T264="","",COUNTIF($T$6:$T264,"?*"))</f>
        <v/>
      </c>
      <c r="V264" s="58" t="str">
        <f t="shared" si="44"/>
        <v/>
      </c>
    </row>
    <row r="265" spans="1:22" ht="12.95" customHeight="1" x14ac:dyDescent="0.25">
      <c r="A265" s="60" t="str">
        <f t="shared" si="36"/>
        <v/>
      </c>
      <c r="B265" s="37"/>
      <c r="C265" s="28"/>
      <c r="D265" s="35"/>
      <c r="E265" s="38"/>
      <c r="F265" s="38"/>
      <c r="G265" s="60" t="str">
        <f t="shared" si="37"/>
        <v/>
      </c>
      <c r="H265" s="61" t="str">
        <f t="shared" si="38"/>
        <v/>
      </c>
      <c r="I265" s="40"/>
      <c r="J265" s="62" t="str">
        <f t="shared" si="39"/>
        <v/>
      </c>
      <c r="K265" s="45" t="str">
        <f t="shared" si="40"/>
        <v/>
      </c>
      <c r="L265" s="55"/>
      <c r="M265" s="63">
        <f t="shared" si="41"/>
        <v>0</v>
      </c>
      <c r="N265" s="63">
        <f t="shared" si="42"/>
        <v>0</v>
      </c>
      <c r="O265" s="57"/>
      <c r="P265" s="40"/>
      <c r="Q265" s="60" t="str">
        <f>IF($D265="","",IF($K265&lt;&gt;"Balance Sheet / Clearing","-",IF(SUMPRODUCT(--(LEFT('7. Settlements'!$J$8:$J$107,7)=$A265),--('7. Settlements'!$M$8:$M$107="Tied out"))+SUMPRODUCT(--(LEFT('8. Transfers'!$H$9:$H$108,7)=$A265),--('8. Transfers'!$J$9:$J$108="Matched"))+SUMPRODUCT(--(LEFT('8. Transfers'!$I$9:$I$108,7)=$A265),--('8. Transfers'!$J$9:$J$108="Matched"))+IF($O265="",0,COUNTIFS('9. Payroll Allocation'!$B$234:$B$253,$O265,'9. Payroll Allocation'!$H$234:$H$253,"Tied out"))&gt;0,"Linked","MISSING DETAIL")))</f>
        <v/>
      </c>
      <c r="T265" s="58" t="str">
        <f t="shared" si="43"/>
        <v/>
      </c>
      <c r="U265" s="59" t="str">
        <f>IF($T265="","",COUNTIF($T$6:$T265,"?*"))</f>
        <v/>
      </c>
      <c r="V265" s="58" t="str">
        <f t="shared" si="44"/>
        <v/>
      </c>
    </row>
    <row r="266" spans="1:22" ht="12.95" customHeight="1" x14ac:dyDescent="0.25">
      <c r="A266" s="52" t="str">
        <f t="shared" si="36"/>
        <v/>
      </c>
      <c r="B266" s="37"/>
      <c r="C266" s="28"/>
      <c r="D266" s="35"/>
      <c r="E266" s="38"/>
      <c r="F266" s="38"/>
      <c r="G266" s="52" t="str">
        <f t="shared" si="37"/>
        <v/>
      </c>
      <c r="H266" s="53" t="str">
        <f t="shared" si="38"/>
        <v/>
      </c>
      <c r="I266" s="40"/>
      <c r="J266" s="54" t="str">
        <f t="shared" si="39"/>
        <v/>
      </c>
      <c r="K266" s="41" t="str">
        <f t="shared" si="40"/>
        <v/>
      </c>
      <c r="L266" s="55"/>
      <c r="M266" s="56">
        <f t="shared" si="41"/>
        <v>0</v>
      </c>
      <c r="N266" s="56">
        <f t="shared" si="42"/>
        <v>0</v>
      </c>
      <c r="O266" s="57"/>
      <c r="P266" s="40"/>
      <c r="Q266" s="52" t="str">
        <f>IF($D266="","",IF($K266&lt;&gt;"Balance Sheet / Clearing","-",IF(SUMPRODUCT(--(LEFT('7. Settlements'!$J$8:$J$107,7)=$A266),--('7. Settlements'!$M$8:$M$107="Tied out"))+SUMPRODUCT(--(LEFT('8. Transfers'!$H$9:$H$108,7)=$A266),--('8. Transfers'!$J$9:$J$108="Matched"))+SUMPRODUCT(--(LEFT('8. Transfers'!$I$9:$I$108,7)=$A266),--('8. Transfers'!$J$9:$J$108="Matched"))+IF($O266="",0,COUNTIFS('9. Payroll Allocation'!$B$234:$B$253,$O266,'9. Payroll Allocation'!$H$234:$H$253,"Tied out"))&gt;0,"Linked","MISSING DETAIL")))</f>
        <v/>
      </c>
      <c r="T266" s="58" t="str">
        <f t="shared" si="43"/>
        <v/>
      </c>
      <c r="U266" s="59" t="str">
        <f>IF($T266="","",COUNTIF($T$6:$T266,"?*"))</f>
        <v/>
      </c>
      <c r="V266" s="58" t="str">
        <f t="shared" si="44"/>
        <v/>
      </c>
    </row>
    <row r="267" spans="1:22" ht="12.95" customHeight="1" x14ac:dyDescent="0.25">
      <c r="A267" s="60" t="str">
        <f t="shared" si="36"/>
        <v/>
      </c>
      <c r="B267" s="37"/>
      <c r="C267" s="28"/>
      <c r="D267" s="35"/>
      <c r="E267" s="38"/>
      <c r="F267" s="38"/>
      <c r="G267" s="60" t="str">
        <f t="shared" si="37"/>
        <v/>
      </c>
      <c r="H267" s="61" t="str">
        <f t="shared" si="38"/>
        <v/>
      </c>
      <c r="I267" s="40"/>
      <c r="J267" s="62" t="str">
        <f t="shared" si="39"/>
        <v/>
      </c>
      <c r="K267" s="45" t="str">
        <f t="shared" si="40"/>
        <v/>
      </c>
      <c r="L267" s="55"/>
      <c r="M267" s="63">
        <f t="shared" si="41"/>
        <v>0</v>
      </c>
      <c r="N267" s="63">
        <f t="shared" si="42"/>
        <v>0</v>
      </c>
      <c r="O267" s="57"/>
      <c r="P267" s="40"/>
      <c r="Q267" s="60" t="str">
        <f>IF($D267="","",IF($K267&lt;&gt;"Balance Sheet / Clearing","-",IF(SUMPRODUCT(--(LEFT('7. Settlements'!$J$8:$J$107,7)=$A267),--('7. Settlements'!$M$8:$M$107="Tied out"))+SUMPRODUCT(--(LEFT('8. Transfers'!$H$9:$H$108,7)=$A267),--('8. Transfers'!$J$9:$J$108="Matched"))+SUMPRODUCT(--(LEFT('8. Transfers'!$I$9:$I$108,7)=$A267),--('8. Transfers'!$J$9:$J$108="Matched"))+IF($O267="",0,COUNTIFS('9. Payroll Allocation'!$B$234:$B$253,$O267,'9. Payroll Allocation'!$H$234:$H$253,"Tied out"))&gt;0,"Linked","MISSING DETAIL")))</f>
        <v/>
      </c>
      <c r="T267" s="58" t="str">
        <f t="shared" si="43"/>
        <v/>
      </c>
      <c r="U267" s="59" t="str">
        <f>IF($T267="","",COUNTIF($T$6:$T267,"?*"))</f>
        <v/>
      </c>
      <c r="V267" s="58" t="str">
        <f t="shared" si="44"/>
        <v/>
      </c>
    </row>
    <row r="268" spans="1:22" ht="12.95" customHeight="1" x14ac:dyDescent="0.25">
      <c r="A268" s="52" t="str">
        <f t="shared" si="36"/>
        <v/>
      </c>
      <c r="B268" s="37"/>
      <c r="C268" s="28"/>
      <c r="D268" s="35"/>
      <c r="E268" s="38"/>
      <c r="F268" s="38"/>
      <c r="G268" s="52" t="str">
        <f t="shared" si="37"/>
        <v/>
      </c>
      <c r="H268" s="53" t="str">
        <f t="shared" si="38"/>
        <v/>
      </c>
      <c r="I268" s="40"/>
      <c r="J268" s="54" t="str">
        <f t="shared" si="39"/>
        <v/>
      </c>
      <c r="K268" s="41" t="str">
        <f t="shared" si="40"/>
        <v/>
      </c>
      <c r="L268" s="55"/>
      <c r="M268" s="56">
        <f t="shared" si="41"/>
        <v>0</v>
      </c>
      <c r="N268" s="56">
        <f t="shared" si="42"/>
        <v>0</v>
      </c>
      <c r="O268" s="57"/>
      <c r="P268" s="40"/>
      <c r="Q268" s="52" t="str">
        <f>IF($D268="","",IF($K268&lt;&gt;"Balance Sheet / Clearing","-",IF(SUMPRODUCT(--(LEFT('7. Settlements'!$J$8:$J$107,7)=$A268),--('7. Settlements'!$M$8:$M$107="Tied out"))+SUMPRODUCT(--(LEFT('8. Transfers'!$H$9:$H$108,7)=$A268),--('8. Transfers'!$J$9:$J$108="Matched"))+SUMPRODUCT(--(LEFT('8. Transfers'!$I$9:$I$108,7)=$A268),--('8. Transfers'!$J$9:$J$108="Matched"))+IF($O268="",0,COUNTIFS('9. Payroll Allocation'!$B$234:$B$253,$O268,'9. Payroll Allocation'!$H$234:$H$253,"Tied out"))&gt;0,"Linked","MISSING DETAIL")))</f>
        <v/>
      </c>
      <c r="T268" s="58" t="str">
        <f t="shared" si="43"/>
        <v/>
      </c>
      <c r="U268" s="59" t="str">
        <f>IF($T268="","",COUNTIF($T$6:$T268,"?*"))</f>
        <v/>
      </c>
      <c r="V268" s="58" t="str">
        <f t="shared" si="44"/>
        <v/>
      </c>
    </row>
    <row r="269" spans="1:22" ht="12.95" customHeight="1" x14ac:dyDescent="0.25">
      <c r="A269" s="60" t="str">
        <f t="shared" si="36"/>
        <v/>
      </c>
      <c r="B269" s="37"/>
      <c r="C269" s="28"/>
      <c r="D269" s="35"/>
      <c r="E269" s="38"/>
      <c r="F269" s="38"/>
      <c r="G269" s="60" t="str">
        <f t="shared" si="37"/>
        <v/>
      </c>
      <c r="H269" s="61" t="str">
        <f t="shared" si="38"/>
        <v/>
      </c>
      <c r="I269" s="40"/>
      <c r="J269" s="62" t="str">
        <f t="shared" si="39"/>
        <v/>
      </c>
      <c r="K269" s="45" t="str">
        <f t="shared" si="40"/>
        <v/>
      </c>
      <c r="L269" s="55"/>
      <c r="M269" s="63">
        <f t="shared" si="41"/>
        <v>0</v>
      </c>
      <c r="N269" s="63">
        <f t="shared" si="42"/>
        <v>0</v>
      </c>
      <c r="O269" s="57"/>
      <c r="P269" s="40"/>
      <c r="Q269" s="60" t="str">
        <f>IF($D269="","",IF($K269&lt;&gt;"Balance Sheet / Clearing","-",IF(SUMPRODUCT(--(LEFT('7. Settlements'!$J$8:$J$107,7)=$A269),--('7. Settlements'!$M$8:$M$107="Tied out"))+SUMPRODUCT(--(LEFT('8. Transfers'!$H$9:$H$108,7)=$A269),--('8. Transfers'!$J$9:$J$108="Matched"))+SUMPRODUCT(--(LEFT('8. Transfers'!$I$9:$I$108,7)=$A269),--('8. Transfers'!$J$9:$J$108="Matched"))+IF($O269="",0,COUNTIFS('9. Payroll Allocation'!$B$234:$B$253,$O269,'9. Payroll Allocation'!$H$234:$H$253,"Tied out"))&gt;0,"Linked","MISSING DETAIL")))</f>
        <v/>
      </c>
      <c r="T269" s="58" t="str">
        <f t="shared" si="43"/>
        <v/>
      </c>
      <c r="U269" s="59" t="str">
        <f>IF($T269="","",COUNTIF($T$6:$T269,"?*"))</f>
        <v/>
      </c>
      <c r="V269" s="58" t="str">
        <f t="shared" si="44"/>
        <v/>
      </c>
    </row>
    <row r="270" spans="1:22" ht="12.95" customHeight="1" x14ac:dyDescent="0.25">
      <c r="A270" s="52" t="str">
        <f t="shared" si="36"/>
        <v/>
      </c>
      <c r="B270" s="37"/>
      <c r="C270" s="28"/>
      <c r="D270" s="35"/>
      <c r="E270" s="38"/>
      <c r="F270" s="38"/>
      <c r="G270" s="52" t="str">
        <f t="shared" si="37"/>
        <v/>
      </c>
      <c r="H270" s="53" t="str">
        <f t="shared" si="38"/>
        <v/>
      </c>
      <c r="I270" s="40"/>
      <c r="J270" s="54" t="str">
        <f t="shared" si="39"/>
        <v/>
      </c>
      <c r="K270" s="41" t="str">
        <f t="shared" si="40"/>
        <v/>
      </c>
      <c r="L270" s="55"/>
      <c r="M270" s="56">
        <f t="shared" si="41"/>
        <v>0</v>
      </c>
      <c r="N270" s="56">
        <f t="shared" si="42"/>
        <v>0</v>
      </c>
      <c r="O270" s="57"/>
      <c r="P270" s="40"/>
      <c r="Q270" s="52" t="str">
        <f>IF($D270="","",IF($K270&lt;&gt;"Balance Sheet / Clearing","-",IF(SUMPRODUCT(--(LEFT('7. Settlements'!$J$8:$J$107,7)=$A270),--('7. Settlements'!$M$8:$M$107="Tied out"))+SUMPRODUCT(--(LEFT('8. Transfers'!$H$9:$H$108,7)=$A270),--('8. Transfers'!$J$9:$J$108="Matched"))+SUMPRODUCT(--(LEFT('8. Transfers'!$I$9:$I$108,7)=$A270),--('8. Transfers'!$J$9:$J$108="Matched"))+IF($O270="",0,COUNTIFS('9. Payroll Allocation'!$B$234:$B$253,$O270,'9. Payroll Allocation'!$H$234:$H$253,"Tied out"))&gt;0,"Linked","MISSING DETAIL")))</f>
        <v/>
      </c>
      <c r="T270" s="58" t="str">
        <f t="shared" si="43"/>
        <v/>
      </c>
      <c r="U270" s="59" t="str">
        <f>IF($T270="","",COUNTIF($T$6:$T270,"?*"))</f>
        <v/>
      </c>
      <c r="V270" s="58" t="str">
        <f t="shared" si="44"/>
        <v/>
      </c>
    </row>
    <row r="271" spans="1:22" ht="12.95" customHeight="1" x14ac:dyDescent="0.25">
      <c r="A271" s="60" t="str">
        <f t="shared" si="36"/>
        <v/>
      </c>
      <c r="B271" s="37"/>
      <c r="C271" s="28"/>
      <c r="D271" s="35"/>
      <c r="E271" s="38"/>
      <c r="F271" s="38"/>
      <c r="G271" s="60" t="str">
        <f t="shared" si="37"/>
        <v/>
      </c>
      <c r="H271" s="61" t="str">
        <f t="shared" si="38"/>
        <v/>
      </c>
      <c r="I271" s="40"/>
      <c r="J271" s="62" t="str">
        <f t="shared" si="39"/>
        <v/>
      </c>
      <c r="K271" s="45" t="str">
        <f t="shared" si="40"/>
        <v/>
      </c>
      <c r="L271" s="55"/>
      <c r="M271" s="63">
        <f t="shared" si="41"/>
        <v>0</v>
      </c>
      <c r="N271" s="63">
        <f t="shared" si="42"/>
        <v>0</v>
      </c>
      <c r="O271" s="57"/>
      <c r="P271" s="40"/>
      <c r="Q271" s="60" t="str">
        <f>IF($D271="","",IF($K271&lt;&gt;"Balance Sheet / Clearing","-",IF(SUMPRODUCT(--(LEFT('7. Settlements'!$J$8:$J$107,7)=$A271),--('7. Settlements'!$M$8:$M$107="Tied out"))+SUMPRODUCT(--(LEFT('8. Transfers'!$H$9:$H$108,7)=$A271),--('8. Transfers'!$J$9:$J$108="Matched"))+SUMPRODUCT(--(LEFT('8. Transfers'!$I$9:$I$108,7)=$A271),--('8. Transfers'!$J$9:$J$108="Matched"))+IF($O271="",0,COUNTIFS('9. Payroll Allocation'!$B$234:$B$253,$O271,'9. Payroll Allocation'!$H$234:$H$253,"Tied out"))&gt;0,"Linked","MISSING DETAIL")))</f>
        <v/>
      </c>
      <c r="T271" s="58" t="str">
        <f t="shared" si="43"/>
        <v/>
      </c>
      <c r="U271" s="59" t="str">
        <f>IF($T271="","",COUNTIF($T$6:$T271,"?*"))</f>
        <v/>
      </c>
      <c r="V271" s="58" t="str">
        <f t="shared" si="44"/>
        <v/>
      </c>
    </row>
    <row r="272" spans="1:22" ht="12.95" customHeight="1" x14ac:dyDescent="0.25">
      <c r="A272" s="52" t="str">
        <f t="shared" si="36"/>
        <v/>
      </c>
      <c r="B272" s="37"/>
      <c r="C272" s="28"/>
      <c r="D272" s="35"/>
      <c r="E272" s="38"/>
      <c r="F272" s="38"/>
      <c r="G272" s="52" t="str">
        <f t="shared" si="37"/>
        <v/>
      </c>
      <c r="H272" s="53" t="str">
        <f t="shared" si="38"/>
        <v/>
      </c>
      <c r="I272" s="40"/>
      <c r="J272" s="54" t="str">
        <f t="shared" si="39"/>
        <v/>
      </c>
      <c r="K272" s="41" t="str">
        <f t="shared" si="40"/>
        <v/>
      </c>
      <c r="L272" s="55"/>
      <c r="M272" s="56">
        <f t="shared" si="41"/>
        <v>0</v>
      </c>
      <c r="N272" s="56">
        <f t="shared" si="42"/>
        <v>0</v>
      </c>
      <c r="O272" s="57"/>
      <c r="P272" s="40"/>
      <c r="Q272" s="52" t="str">
        <f>IF($D272="","",IF($K272&lt;&gt;"Balance Sheet / Clearing","-",IF(SUMPRODUCT(--(LEFT('7. Settlements'!$J$8:$J$107,7)=$A272),--('7. Settlements'!$M$8:$M$107="Tied out"))+SUMPRODUCT(--(LEFT('8. Transfers'!$H$9:$H$108,7)=$A272),--('8. Transfers'!$J$9:$J$108="Matched"))+SUMPRODUCT(--(LEFT('8. Transfers'!$I$9:$I$108,7)=$A272),--('8. Transfers'!$J$9:$J$108="Matched"))+IF($O272="",0,COUNTIFS('9. Payroll Allocation'!$B$234:$B$253,$O272,'9. Payroll Allocation'!$H$234:$H$253,"Tied out"))&gt;0,"Linked","MISSING DETAIL")))</f>
        <v/>
      </c>
      <c r="T272" s="58" t="str">
        <f t="shared" si="43"/>
        <v/>
      </c>
      <c r="U272" s="59" t="str">
        <f>IF($T272="","",COUNTIF($T$6:$T272,"?*"))</f>
        <v/>
      </c>
      <c r="V272" s="58" t="str">
        <f t="shared" si="44"/>
        <v/>
      </c>
    </row>
    <row r="273" spans="1:22" ht="12.95" customHeight="1" x14ac:dyDescent="0.25">
      <c r="A273" s="60" t="str">
        <f t="shared" si="36"/>
        <v/>
      </c>
      <c r="B273" s="37"/>
      <c r="C273" s="28"/>
      <c r="D273" s="35"/>
      <c r="E273" s="38"/>
      <c r="F273" s="38"/>
      <c r="G273" s="60" t="str">
        <f t="shared" si="37"/>
        <v/>
      </c>
      <c r="H273" s="61" t="str">
        <f t="shared" si="38"/>
        <v/>
      </c>
      <c r="I273" s="40"/>
      <c r="J273" s="62" t="str">
        <f t="shared" si="39"/>
        <v/>
      </c>
      <c r="K273" s="45" t="str">
        <f t="shared" si="40"/>
        <v/>
      </c>
      <c r="L273" s="55"/>
      <c r="M273" s="63">
        <f t="shared" si="41"/>
        <v>0</v>
      </c>
      <c r="N273" s="63">
        <f t="shared" si="42"/>
        <v>0</v>
      </c>
      <c r="O273" s="57"/>
      <c r="P273" s="40"/>
      <c r="Q273" s="60" t="str">
        <f>IF($D273="","",IF($K273&lt;&gt;"Balance Sheet / Clearing","-",IF(SUMPRODUCT(--(LEFT('7. Settlements'!$J$8:$J$107,7)=$A273),--('7. Settlements'!$M$8:$M$107="Tied out"))+SUMPRODUCT(--(LEFT('8. Transfers'!$H$9:$H$108,7)=$A273),--('8. Transfers'!$J$9:$J$108="Matched"))+SUMPRODUCT(--(LEFT('8. Transfers'!$I$9:$I$108,7)=$A273),--('8. Transfers'!$J$9:$J$108="Matched"))+IF($O273="",0,COUNTIFS('9. Payroll Allocation'!$B$234:$B$253,$O273,'9. Payroll Allocation'!$H$234:$H$253,"Tied out"))&gt;0,"Linked","MISSING DETAIL")))</f>
        <v/>
      </c>
      <c r="T273" s="58" t="str">
        <f t="shared" si="43"/>
        <v/>
      </c>
      <c r="U273" s="59" t="str">
        <f>IF($T273="","",COUNTIF($T$6:$T273,"?*"))</f>
        <v/>
      </c>
      <c r="V273" s="58" t="str">
        <f t="shared" si="44"/>
        <v/>
      </c>
    </row>
    <row r="274" spans="1:22" ht="12.95" customHeight="1" x14ac:dyDescent="0.25">
      <c r="A274" s="52" t="str">
        <f t="shared" si="36"/>
        <v/>
      </c>
      <c r="B274" s="37"/>
      <c r="C274" s="28"/>
      <c r="D274" s="35"/>
      <c r="E274" s="38"/>
      <c r="F274" s="38"/>
      <c r="G274" s="52" t="str">
        <f t="shared" si="37"/>
        <v/>
      </c>
      <c r="H274" s="53" t="str">
        <f t="shared" si="38"/>
        <v/>
      </c>
      <c r="I274" s="40"/>
      <c r="J274" s="54" t="str">
        <f t="shared" si="39"/>
        <v/>
      </c>
      <c r="K274" s="41" t="str">
        <f t="shared" si="40"/>
        <v/>
      </c>
      <c r="L274" s="55"/>
      <c r="M274" s="56">
        <f t="shared" si="41"/>
        <v>0</v>
      </c>
      <c r="N274" s="56">
        <f t="shared" si="42"/>
        <v>0</v>
      </c>
      <c r="O274" s="57"/>
      <c r="P274" s="40"/>
      <c r="Q274" s="52" t="str">
        <f>IF($D274="","",IF($K274&lt;&gt;"Balance Sheet / Clearing","-",IF(SUMPRODUCT(--(LEFT('7. Settlements'!$J$8:$J$107,7)=$A274),--('7. Settlements'!$M$8:$M$107="Tied out"))+SUMPRODUCT(--(LEFT('8. Transfers'!$H$9:$H$108,7)=$A274),--('8. Transfers'!$J$9:$J$108="Matched"))+SUMPRODUCT(--(LEFT('8. Transfers'!$I$9:$I$108,7)=$A274),--('8. Transfers'!$J$9:$J$108="Matched"))+IF($O274="",0,COUNTIFS('9. Payroll Allocation'!$B$234:$B$253,$O274,'9. Payroll Allocation'!$H$234:$H$253,"Tied out"))&gt;0,"Linked","MISSING DETAIL")))</f>
        <v/>
      </c>
      <c r="T274" s="58" t="str">
        <f t="shared" si="43"/>
        <v/>
      </c>
      <c r="U274" s="59" t="str">
        <f>IF($T274="","",COUNTIF($T$6:$T274,"?*"))</f>
        <v/>
      </c>
      <c r="V274" s="58" t="str">
        <f t="shared" si="44"/>
        <v/>
      </c>
    </row>
    <row r="275" spans="1:22" ht="12.95" customHeight="1" x14ac:dyDescent="0.25">
      <c r="A275" s="60" t="str">
        <f t="shared" si="36"/>
        <v/>
      </c>
      <c r="B275" s="37"/>
      <c r="C275" s="28"/>
      <c r="D275" s="35"/>
      <c r="E275" s="38"/>
      <c r="F275" s="38"/>
      <c r="G275" s="60" t="str">
        <f t="shared" si="37"/>
        <v/>
      </c>
      <c r="H275" s="61" t="str">
        <f t="shared" si="38"/>
        <v/>
      </c>
      <c r="I275" s="40"/>
      <c r="J275" s="62" t="str">
        <f t="shared" si="39"/>
        <v/>
      </c>
      <c r="K275" s="45" t="str">
        <f t="shared" si="40"/>
        <v/>
      </c>
      <c r="L275" s="55"/>
      <c r="M275" s="63">
        <f t="shared" si="41"/>
        <v>0</v>
      </c>
      <c r="N275" s="63">
        <f t="shared" si="42"/>
        <v>0</v>
      </c>
      <c r="O275" s="57"/>
      <c r="P275" s="40"/>
      <c r="Q275" s="60" t="str">
        <f>IF($D275="","",IF($K275&lt;&gt;"Balance Sheet / Clearing","-",IF(SUMPRODUCT(--(LEFT('7. Settlements'!$J$8:$J$107,7)=$A275),--('7. Settlements'!$M$8:$M$107="Tied out"))+SUMPRODUCT(--(LEFT('8. Transfers'!$H$9:$H$108,7)=$A275),--('8. Transfers'!$J$9:$J$108="Matched"))+SUMPRODUCT(--(LEFT('8. Transfers'!$I$9:$I$108,7)=$A275),--('8. Transfers'!$J$9:$J$108="Matched"))+IF($O275="",0,COUNTIFS('9. Payroll Allocation'!$B$234:$B$253,$O275,'9. Payroll Allocation'!$H$234:$H$253,"Tied out"))&gt;0,"Linked","MISSING DETAIL")))</f>
        <v/>
      </c>
      <c r="T275" s="58" t="str">
        <f t="shared" si="43"/>
        <v/>
      </c>
      <c r="U275" s="59" t="str">
        <f>IF($T275="","",COUNTIF($T$6:$T275,"?*"))</f>
        <v/>
      </c>
      <c r="V275" s="58" t="str">
        <f t="shared" si="44"/>
        <v/>
      </c>
    </row>
    <row r="276" spans="1:22" ht="12.95" customHeight="1" x14ac:dyDescent="0.25">
      <c r="A276" s="52" t="str">
        <f t="shared" si="36"/>
        <v/>
      </c>
      <c r="B276" s="37"/>
      <c r="C276" s="28"/>
      <c r="D276" s="35"/>
      <c r="E276" s="38"/>
      <c r="F276" s="38"/>
      <c r="G276" s="52" t="str">
        <f t="shared" si="37"/>
        <v/>
      </c>
      <c r="H276" s="53" t="str">
        <f t="shared" si="38"/>
        <v/>
      </c>
      <c r="I276" s="40"/>
      <c r="J276" s="54" t="str">
        <f t="shared" si="39"/>
        <v/>
      </c>
      <c r="K276" s="41" t="str">
        <f t="shared" si="40"/>
        <v/>
      </c>
      <c r="L276" s="55"/>
      <c r="M276" s="56">
        <f t="shared" si="41"/>
        <v>0</v>
      </c>
      <c r="N276" s="56">
        <f t="shared" si="42"/>
        <v>0</v>
      </c>
      <c r="O276" s="57"/>
      <c r="P276" s="40"/>
      <c r="Q276" s="52" t="str">
        <f>IF($D276="","",IF($K276&lt;&gt;"Balance Sheet / Clearing","-",IF(SUMPRODUCT(--(LEFT('7. Settlements'!$J$8:$J$107,7)=$A276),--('7. Settlements'!$M$8:$M$107="Tied out"))+SUMPRODUCT(--(LEFT('8. Transfers'!$H$9:$H$108,7)=$A276),--('8. Transfers'!$J$9:$J$108="Matched"))+SUMPRODUCT(--(LEFT('8. Transfers'!$I$9:$I$108,7)=$A276),--('8. Transfers'!$J$9:$J$108="Matched"))+IF($O276="",0,COUNTIFS('9. Payroll Allocation'!$B$234:$B$253,$O276,'9. Payroll Allocation'!$H$234:$H$253,"Tied out"))&gt;0,"Linked","MISSING DETAIL")))</f>
        <v/>
      </c>
      <c r="T276" s="58" t="str">
        <f t="shared" si="43"/>
        <v/>
      </c>
      <c r="U276" s="59" t="str">
        <f>IF($T276="","",COUNTIF($T$6:$T276,"?*"))</f>
        <v/>
      </c>
      <c r="V276" s="58" t="str">
        <f t="shared" si="44"/>
        <v/>
      </c>
    </row>
    <row r="277" spans="1:22" ht="12.95" customHeight="1" x14ac:dyDescent="0.25">
      <c r="A277" s="60" t="str">
        <f t="shared" si="36"/>
        <v/>
      </c>
      <c r="B277" s="37"/>
      <c r="C277" s="28"/>
      <c r="D277" s="35"/>
      <c r="E277" s="38"/>
      <c r="F277" s="38"/>
      <c r="G277" s="60" t="str">
        <f t="shared" si="37"/>
        <v/>
      </c>
      <c r="H277" s="61" t="str">
        <f t="shared" si="38"/>
        <v/>
      </c>
      <c r="I277" s="40"/>
      <c r="J277" s="62" t="str">
        <f t="shared" si="39"/>
        <v/>
      </c>
      <c r="K277" s="45" t="str">
        <f t="shared" si="40"/>
        <v/>
      </c>
      <c r="L277" s="55"/>
      <c r="M277" s="63">
        <f t="shared" si="41"/>
        <v>0</v>
      </c>
      <c r="N277" s="63">
        <f t="shared" si="42"/>
        <v>0</v>
      </c>
      <c r="O277" s="57"/>
      <c r="P277" s="40"/>
      <c r="Q277" s="60" t="str">
        <f>IF($D277="","",IF($K277&lt;&gt;"Balance Sheet / Clearing","-",IF(SUMPRODUCT(--(LEFT('7. Settlements'!$J$8:$J$107,7)=$A277),--('7. Settlements'!$M$8:$M$107="Tied out"))+SUMPRODUCT(--(LEFT('8. Transfers'!$H$9:$H$108,7)=$A277),--('8. Transfers'!$J$9:$J$108="Matched"))+SUMPRODUCT(--(LEFT('8. Transfers'!$I$9:$I$108,7)=$A277),--('8. Transfers'!$J$9:$J$108="Matched"))+IF($O277="",0,COUNTIFS('9. Payroll Allocation'!$B$234:$B$253,$O277,'9. Payroll Allocation'!$H$234:$H$253,"Tied out"))&gt;0,"Linked","MISSING DETAIL")))</f>
        <v/>
      </c>
      <c r="T277" s="58" t="str">
        <f t="shared" si="43"/>
        <v/>
      </c>
      <c r="U277" s="59" t="str">
        <f>IF($T277="","",COUNTIF($T$6:$T277,"?*"))</f>
        <v/>
      </c>
      <c r="V277" s="58" t="str">
        <f t="shared" si="44"/>
        <v/>
      </c>
    </row>
    <row r="278" spans="1:22" ht="12.95" customHeight="1" x14ac:dyDescent="0.25">
      <c r="A278" s="52" t="str">
        <f t="shared" si="36"/>
        <v/>
      </c>
      <c r="B278" s="37"/>
      <c r="C278" s="28"/>
      <c r="D278" s="35"/>
      <c r="E278" s="38"/>
      <c r="F278" s="38"/>
      <c r="G278" s="52" t="str">
        <f t="shared" si="37"/>
        <v/>
      </c>
      <c r="H278" s="53" t="str">
        <f t="shared" si="38"/>
        <v/>
      </c>
      <c r="I278" s="40"/>
      <c r="J278" s="54" t="str">
        <f t="shared" si="39"/>
        <v/>
      </c>
      <c r="K278" s="41" t="str">
        <f t="shared" si="40"/>
        <v/>
      </c>
      <c r="L278" s="55"/>
      <c r="M278" s="56">
        <f t="shared" si="41"/>
        <v>0</v>
      </c>
      <c r="N278" s="56">
        <f t="shared" si="42"/>
        <v>0</v>
      </c>
      <c r="O278" s="57"/>
      <c r="P278" s="40"/>
      <c r="Q278" s="52" t="str">
        <f>IF($D278="","",IF($K278&lt;&gt;"Balance Sheet / Clearing","-",IF(SUMPRODUCT(--(LEFT('7. Settlements'!$J$8:$J$107,7)=$A278),--('7. Settlements'!$M$8:$M$107="Tied out"))+SUMPRODUCT(--(LEFT('8. Transfers'!$H$9:$H$108,7)=$A278),--('8. Transfers'!$J$9:$J$108="Matched"))+SUMPRODUCT(--(LEFT('8. Transfers'!$I$9:$I$108,7)=$A278),--('8. Transfers'!$J$9:$J$108="Matched"))+IF($O278="",0,COUNTIFS('9. Payroll Allocation'!$B$234:$B$253,$O278,'9. Payroll Allocation'!$H$234:$H$253,"Tied out"))&gt;0,"Linked","MISSING DETAIL")))</f>
        <v/>
      </c>
      <c r="T278" s="58" t="str">
        <f t="shared" si="43"/>
        <v/>
      </c>
      <c r="U278" s="59" t="str">
        <f>IF($T278="","",COUNTIF($T$6:$T278,"?*"))</f>
        <v/>
      </c>
      <c r="V278" s="58" t="str">
        <f t="shared" si="44"/>
        <v/>
      </c>
    </row>
    <row r="279" spans="1:22" ht="12.95" customHeight="1" x14ac:dyDescent="0.25">
      <c r="A279" s="60" t="str">
        <f t="shared" si="36"/>
        <v/>
      </c>
      <c r="B279" s="37"/>
      <c r="C279" s="28"/>
      <c r="D279" s="35"/>
      <c r="E279" s="38"/>
      <c r="F279" s="38"/>
      <c r="G279" s="60" t="str">
        <f t="shared" si="37"/>
        <v/>
      </c>
      <c r="H279" s="61" t="str">
        <f t="shared" si="38"/>
        <v/>
      </c>
      <c r="I279" s="40"/>
      <c r="J279" s="62" t="str">
        <f t="shared" si="39"/>
        <v/>
      </c>
      <c r="K279" s="45" t="str">
        <f t="shared" si="40"/>
        <v/>
      </c>
      <c r="L279" s="55"/>
      <c r="M279" s="63">
        <f t="shared" si="41"/>
        <v>0</v>
      </c>
      <c r="N279" s="63">
        <f t="shared" si="42"/>
        <v>0</v>
      </c>
      <c r="O279" s="57"/>
      <c r="P279" s="40"/>
      <c r="Q279" s="60" t="str">
        <f>IF($D279="","",IF($K279&lt;&gt;"Balance Sheet / Clearing","-",IF(SUMPRODUCT(--(LEFT('7. Settlements'!$J$8:$J$107,7)=$A279),--('7. Settlements'!$M$8:$M$107="Tied out"))+SUMPRODUCT(--(LEFT('8. Transfers'!$H$9:$H$108,7)=$A279),--('8. Transfers'!$J$9:$J$108="Matched"))+SUMPRODUCT(--(LEFT('8. Transfers'!$I$9:$I$108,7)=$A279),--('8. Transfers'!$J$9:$J$108="Matched"))+IF($O279="",0,COUNTIFS('9. Payroll Allocation'!$B$234:$B$253,$O279,'9. Payroll Allocation'!$H$234:$H$253,"Tied out"))&gt;0,"Linked","MISSING DETAIL")))</f>
        <v/>
      </c>
      <c r="T279" s="58" t="str">
        <f t="shared" si="43"/>
        <v/>
      </c>
      <c r="U279" s="59" t="str">
        <f>IF($T279="","",COUNTIF($T$6:$T279,"?*"))</f>
        <v/>
      </c>
      <c r="V279" s="58" t="str">
        <f t="shared" si="44"/>
        <v/>
      </c>
    </row>
    <row r="280" spans="1:22" ht="12.95" customHeight="1" x14ac:dyDescent="0.25">
      <c r="A280" s="52" t="str">
        <f t="shared" si="36"/>
        <v/>
      </c>
      <c r="B280" s="37"/>
      <c r="C280" s="28"/>
      <c r="D280" s="35"/>
      <c r="E280" s="38"/>
      <c r="F280" s="38"/>
      <c r="G280" s="52" t="str">
        <f t="shared" si="37"/>
        <v/>
      </c>
      <c r="H280" s="53" t="str">
        <f t="shared" si="38"/>
        <v/>
      </c>
      <c r="I280" s="40"/>
      <c r="J280" s="54" t="str">
        <f t="shared" si="39"/>
        <v/>
      </c>
      <c r="K280" s="41" t="str">
        <f t="shared" si="40"/>
        <v/>
      </c>
      <c r="L280" s="55"/>
      <c r="M280" s="56">
        <f t="shared" si="41"/>
        <v>0</v>
      </c>
      <c r="N280" s="56">
        <f t="shared" si="42"/>
        <v>0</v>
      </c>
      <c r="O280" s="57"/>
      <c r="P280" s="40"/>
      <c r="Q280" s="52" t="str">
        <f>IF($D280="","",IF($K280&lt;&gt;"Balance Sheet / Clearing","-",IF(SUMPRODUCT(--(LEFT('7. Settlements'!$J$8:$J$107,7)=$A280),--('7. Settlements'!$M$8:$M$107="Tied out"))+SUMPRODUCT(--(LEFT('8. Transfers'!$H$9:$H$108,7)=$A280),--('8. Transfers'!$J$9:$J$108="Matched"))+SUMPRODUCT(--(LEFT('8. Transfers'!$I$9:$I$108,7)=$A280),--('8. Transfers'!$J$9:$J$108="Matched"))+IF($O280="",0,COUNTIFS('9. Payroll Allocation'!$B$234:$B$253,$O280,'9. Payroll Allocation'!$H$234:$H$253,"Tied out"))&gt;0,"Linked","MISSING DETAIL")))</f>
        <v/>
      </c>
      <c r="T280" s="58" t="str">
        <f t="shared" si="43"/>
        <v/>
      </c>
      <c r="U280" s="59" t="str">
        <f>IF($T280="","",COUNTIF($T$6:$T280,"?*"))</f>
        <v/>
      </c>
      <c r="V280" s="58" t="str">
        <f t="shared" si="44"/>
        <v/>
      </c>
    </row>
    <row r="281" spans="1:22" ht="12.95" customHeight="1" x14ac:dyDescent="0.25">
      <c r="A281" s="60" t="str">
        <f t="shared" si="36"/>
        <v/>
      </c>
      <c r="B281" s="37"/>
      <c r="C281" s="28"/>
      <c r="D281" s="35"/>
      <c r="E281" s="38"/>
      <c r="F281" s="38"/>
      <c r="G281" s="60" t="str">
        <f t="shared" si="37"/>
        <v/>
      </c>
      <c r="H281" s="61" t="str">
        <f t="shared" si="38"/>
        <v/>
      </c>
      <c r="I281" s="40"/>
      <c r="J281" s="62" t="str">
        <f t="shared" si="39"/>
        <v/>
      </c>
      <c r="K281" s="45" t="str">
        <f t="shared" si="40"/>
        <v/>
      </c>
      <c r="L281" s="55"/>
      <c r="M281" s="63">
        <f t="shared" si="41"/>
        <v>0</v>
      </c>
      <c r="N281" s="63">
        <f t="shared" si="42"/>
        <v>0</v>
      </c>
      <c r="O281" s="57"/>
      <c r="P281" s="40"/>
      <c r="Q281" s="60" t="str">
        <f>IF($D281="","",IF($K281&lt;&gt;"Balance Sheet / Clearing","-",IF(SUMPRODUCT(--(LEFT('7. Settlements'!$J$8:$J$107,7)=$A281),--('7. Settlements'!$M$8:$M$107="Tied out"))+SUMPRODUCT(--(LEFT('8. Transfers'!$H$9:$H$108,7)=$A281),--('8. Transfers'!$J$9:$J$108="Matched"))+SUMPRODUCT(--(LEFT('8. Transfers'!$I$9:$I$108,7)=$A281),--('8. Transfers'!$J$9:$J$108="Matched"))+IF($O281="",0,COUNTIFS('9. Payroll Allocation'!$B$234:$B$253,$O281,'9. Payroll Allocation'!$H$234:$H$253,"Tied out"))&gt;0,"Linked","MISSING DETAIL")))</f>
        <v/>
      </c>
      <c r="T281" s="58" t="str">
        <f t="shared" si="43"/>
        <v/>
      </c>
      <c r="U281" s="59" t="str">
        <f>IF($T281="","",COUNTIF($T$6:$T281,"?*"))</f>
        <v/>
      </c>
      <c r="V281" s="58" t="str">
        <f t="shared" si="44"/>
        <v/>
      </c>
    </row>
    <row r="282" spans="1:22" ht="12.95" customHeight="1" x14ac:dyDescent="0.25">
      <c r="A282" s="52" t="str">
        <f t="shared" si="36"/>
        <v/>
      </c>
      <c r="B282" s="37"/>
      <c r="C282" s="28"/>
      <c r="D282" s="35"/>
      <c r="E282" s="38"/>
      <c r="F282" s="38"/>
      <c r="G282" s="52" t="str">
        <f t="shared" si="37"/>
        <v/>
      </c>
      <c r="H282" s="53" t="str">
        <f t="shared" si="38"/>
        <v/>
      </c>
      <c r="I282" s="40"/>
      <c r="J282" s="54" t="str">
        <f t="shared" si="39"/>
        <v/>
      </c>
      <c r="K282" s="41" t="str">
        <f t="shared" si="40"/>
        <v/>
      </c>
      <c r="L282" s="55"/>
      <c r="M282" s="56">
        <f t="shared" si="41"/>
        <v>0</v>
      </c>
      <c r="N282" s="56">
        <f t="shared" si="42"/>
        <v>0</v>
      </c>
      <c r="O282" s="57"/>
      <c r="P282" s="40"/>
      <c r="Q282" s="52" t="str">
        <f>IF($D282="","",IF($K282&lt;&gt;"Balance Sheet / Clearing","-",IF(SUMPRODUCT(--(LEFT('7. Settlements'!$J$8:$J$107,7)=$A282),--('7. Settlements'!$M$8:$M$107="Tied out"))+SUMPRODUCT(--(LEFT('8. Transfers'!$H$9:$H$108,7)=$A282),--('8. Transfers'!$J$9:$J$108="Matched"))+SUMPRODUCT(--(LEFT('8. Transfers'!$I$9:$I$108,7)=$A282),--('8. Transfers'!$J$9:$J$108="Matched"))+IF($O282="",0,COUNTIFS('9. Payroll Allocation'!$B$234:$B$253,$O282,'9. Payroll Allocation'!$H$234:$H$253,"Tied out"))&gt;0,"Linked","MISSING DETAIL")))</f>
        <v/>
      </c>
      <c r="T282" s="58" t="str">
        <f t="shared" si="43"/>
        <v/>
      </c>
      <c r="U282" s="59" t="str">
        <f>IF($T282="","",COUNTIF($T$6:$T282,"?*"))</f>
        <v/>
      </c>
      <c r="V282" s="58" t="str">
        <f t="shared" si="44"/>
        <v/>
      </c>
    </row>
    <row r="283" spans="1:22" ht="12.95" customHeight="1" x14ac:dyDescent="0.25">
      <c r="A283" s="60" t="str">
        <f t="shared" si="36"/>
        <v/>
      </c>
      <c r="B283" s="37"/>
      <c r="C283" s="28"/>
      <c r="D283" s="35"/>
      <c r="E283" s="38"/>
      <c r="F283" s="38"/>
      <c r="G283" s="60" t="str">
        <f t="shared" si="37"/>
        <v/>
      </c>
      <c r="H283" s="61" t="str">
        <f t="shared" si="38"/>
        <v/>
      </c>
      <c r="I283" s="40"/>
      <c r="J283" s="62" t="str">
        <f t="shared" si="39"/>
        <v/>
      </c>
      <c r="K283" s="45" t="str">
        <f t="shared" si="40"/>
        <v/>
      </c>
      <c r="L283" s="55"/>
      <c r="M283" s="63">
        <f t="shared" si="41"/>
        <v>0</v>
      </c>
      <c r="N283" s="63">
        <f t="shared" si="42"/>
        <v>0</v>
      </c>
      <c r="O283" s="57"/>
      <c r="P283" s="40"/>
      <c r="Q283" s="60" t="str">
        <f>IF($D283="","",IF($K283&lt;&gt;"Balance Sheet / Clearing","-",IF(SUMPRODUCT(--(LEFT('7. Settlements'!$J$8:$J$107,7)=$A283),--('7. Settlements'!$M$8:$M$107="Tied out"))+SUMPRODUCT(--(LEFT('8. Transfers'!$H$9:$H$108,7)=$A283),--('8. Transfers'!$J$9:$J$108="Matched"))+SUMPRODUCT(--(LEFT('8. Transfers'!$I$9:$I$108,7)=$A283),--('8. Transfers'!$J$9:$J$108="Matched"))+IF($O283="",0,COUNTIFS('9. Payroll Allocation'!$B$234:$B$253,$O283,'9. Payroll Allocation'!$H$234:$H$253,"Tied out"))&gt;0,"Linked","MISSING DETAIL")))</f>
        <v/>
      </c>
      <c r="T283" s="58" t="str">
        <f t="shared" si="43"/>
        <v/>
      </c>
      <c r="U283" s="59" t="str">
        <f>IF($T283="","",COUNTIF($T$6:$T283,"?*"))</f>
        <v/>
      </c>
      <c r="V283" s="58" t="str">
        <f t="shared" si="44"/>
        <v/>
      </c>
    </row>
    <row r="284" spans="1:22" ht="12.95" customHeight="1" x14ac:dyDescent="0.25">
      <c r="A284" s="52" t="str">
        <f t="shared" si="36"/>
        <v/>
      </c>
      <c r="B284" s="37"/>
      <c r="C284" s="28"/>
      <c r="D284" s="35"/>
      <c r="E284" s="38"/>
      <c r="F284" s="38"/>
      <c r="G284" s="52" t="str">
        <f t="shared" si="37"/>
        <v/>
      </c>
      <c r="H284" s="53" t="str">
        <f t="shared" si="38"/>
        <v/>
      </c>
      <c r="I284" s="40"/>
      <c r="J284" s="54" t="str">
        <f t="shared" si="39"/>
        <v/>
      </c>
      <c r="K284" s="41" t="str">
        <f t="shared" si="40"/>
        <v/>
      </c>
      <c r="L284" s="55"/>
      <c r="M284" s="56">
        <f t="shared" si="41"/>
        <v>0</v>
      </c>
      <c r="N284" s="56">
        <f t="shared" si="42"/>
        <v>0</v>
      </c>
      <c r="O284" s="57"/>
      <c r="P284" s="40"/>
      <c r="Q284" s="52" t="str">
        <f>IF($D284="","",IF($K284&lt;&gt;"Balance Sheet / Clearing","-",IF(SUMPRODUCT(--(LEFT('7. Settlements'!$J$8:$J$107,7)=$A284),--('7. Settlements'!$M$8:$M$107="Tied out"))+SUMPRODUCT(--(LEFT('8. Transfers'!$H$9:$H$108,7)=$A284),--('8. Transfers'!$J$9:$J$108="Matched"))+SUMPRODUCT(--(LEFT('8. Transfers'!$I$9:$I$108,7)=$A284),--('8. Transfers'!$J$9:$J$108="Matched"))+IF($O284="",0,COUNTIFS('9. Payroll Allocation'!$B$234:$B$253,$O284,'9. Payroll Allocation'!$H$234:$H$253,"Tied out"))&gt;0,"Linked","MISSING DETAIL")))</f>
        <v/>
      </c>
      <c r="T284" s="58" t="str">
        <f t="shared" si="43"/>
        <v/>
      </c>
      <c r="U284" s="59" t="str">
        <f>IF($T284="","",COUNTIF($T$6:$T284,"?*"))</f>
        <v/>
      </c>
      <c r="V284" s="58" t="str">
        <f t="shared" si="44"/>
        <v/>
      </c>
    </row>
    <row r="285" spans="1:22" ht="12.95" customHeight="1" x14ac:dyDescent="0.25">
      <c r="A285" s="60" t="str">
        <f t="shared" si="36"/>
        <v/>
      </c>
      <c r="B285" s="37"/>
      <c r="C285" s="28"/>
      <c r="D285" s="35"/>
      <c r="E285" s="38"/>
      <c r="F285" s="38"/>
      <c r="G285" s="60" t="str">
        <f t="shared" si="37"/>
        <v/>
      </c>
      <c r="H285" s="61" t="str">
        <f t="shared" si="38"/>
        <v/>
      </c>
      <c r="I285" s="40"/>
      <c r="J285" s="62" t="str">
        <f t="shared" si="39"/>
        <v/>
      </c>
      <c r="K285" s="45" t="str">
        <f t="shared" si="40"/>
        <v/>
      </c>
      <c r="L285" s="55"/>
      <c r="M285" s="63">
        <f t="shared" si="41"/>
        <v>0</v>
      </c>
      <c r="N285" s="63">
        <f t="shared" si="42"/>
        <v>0</v>
      </c>
      <c r="O285" s="57"/>
      <c r="P285" s="40"/>
      <c r="Q285" s="60" t="str">
        <f>IF($D285="","",IF($K285&lt;&gt;"Balance Sheet / Clearing","-",IF(SUMPRODUCT(--(LEFT('7. Settlements'!$J$8:$J$107,7)=$A285),--('7. Settlements'!$M$8:$M$107="Tied out"))+SUMPRODUCT(--(LEFT('8. Transfers'!$H$9:$H$108,7)=$A285),--('8. Transfers'!$J$9:$J$108="Matched"))+SUMPRODUCT(--(LEFT('8. Transfers'!$I$9:$I$108,7)=$A285),--('8. Transfers'!$J$9:$J$108="Matched"))+IF($O285="",0,COUNTIFS('9. Payroll Allocation'!$B$234:$B$253,$O285,'9. Payroll Allocation'!$H$234:$H$253,"Tied out"))&gt;0,"Linked","MISSING DETAIL")))</f>
        <v/>
      </c>
      <c r="T285" s="58" t="str">
        <f t="shared" si="43"/>
        <v/>
      </c>
      <c r="U285" s="59" t="str">
        <f>IF($T285="","",COUNTIF($T$6:$T285,"?*"))</f>
        <v/>
      </c>
      <c r="V285" s="58" t="str">
        <f t="shared" si="44"/>
        <v/>
      </c>
    </row>
    <row r="286" spans="1:22" ht="12.95" customHeight="1" x14ac:dyDescent="0.25">
      <c r="A286" s="52" t="str">
        <f t="shared" si="36"/>
        <v/>
      </c>
      <c r="B286" s="37"/>
      <c r="C286" s="28"/>
      <c r="D286" s="35"/>
      <c r="E286" s="38"/>
      <c r="F286" s="38"/>
      <c r="G286" s="52" t="str">
        <f t="shared" si="37"/>
        <v/>
      </c>
      <c r="H286" s="53" t="str">
        <f t="shared" si="38"/>
        <v/>
      </c>
      <c r="I286" s="40"/>
      <c r="J286" s="54" t="str">
        <f t="shared" si="39"/>
        <v/>
      </c>
      <c r="K286" s="41" t="str">
        <f t="shared" si="40"/>
        <v/>
      </c>
      <c r="L286" s="55"/>
      <c r="M286" s="56">
        <f t="shared" si="41"/>
        <v>0</v>
      </c>
      <c r="N286" s="56">
        <f t="shared" si="42"/>
        <v>0</v>
      </c>
      <c r="O286" s="57"/>
      <c r="P286" s="40"/>
      <c r="Q286" s="52" t="str">
        <f>IF($D286="","",IF($K286&lt;&gt;"Balance Sheet / Clearing","-",IF(SUMPRODUCT(--(LEFT('7. Settlements'!$J$8:$J$107,7)=$A286),--('7. Settlements'!$M$8:$M$107="Tied out"))+SUMPRODUCT(--(LEFT('8. Transfers'!$H$9:$H$108,7)=$A286),--('8. Transfers'!$J$9:$J$108="Matched"))+SUMPRODUCT(--(LEFT('8. Transfers'!$I$9:$I$108,7)=$A286),--('8. Transfers'!$J$9:$J$108="Matched"))+IF($O286="",0,COUNTIFS('9. Payroll Allocation'!$B$234:$B$253,$O286,'9. Payroll Allocation'!$H$234:$H$253,"Tied out"))&gt;0,"Linked","MISSING DETAIL")))</f>
        <v/>
      </c>
      <c r="T286" s="58" t="str">
        <f t="shared" si="43"/>
        <v/>
      </c>
      <c r="U286" s="59" t="str">
        <f>IF($T286="","",COUNTIF($T$6:$T286,"?*"))</f>
        <v/>
      </c>
      <c r="V286" s="58" t="str">
        <f t="shared" si="44"/>
        <v/>
      </c>
    </row>
    <row r="287" spans="1:22" ht="12.95" customHeight="1" x14ac:dyDescent="0.25">
      <c r="A287" s="60" t="str">
        <f t="shared" si="36"/>
        <v/>
      </c>
      <c r="B287" s="37"/>
      <c r="C287" s="28"/>
      <c r="D287" s="35"/>
      <c r="E287" s="38"/>
      <c r="F287" s="38"/>
      <c r="G287" s="60" t="str">
        <f t="shared" si="37"/>
        <v/>
      </c>
      <c r="H287" s="61" t="str">
        <f t="shared" si="38"/>
        <v/>
      </c>
      <c r="I287" s="40"/>
      <c r="J287" s="62" t="str">
        <f t="shared" si="39"/>
        <v/>
      </c>
      <c r="K287" s="45" t="str">
        <f t="shared" si="40"/>
        <v/>
      </c>
      <c r="L287" s="55"/>
      <c r="M287" s="63">
        <f t="shared" si="41"/>
        <v>0</v>
      </c>
      <c r="N287" s="63">
        <f t="shared" si="42"/>
        <v>0</v>
      </c>
      <c r="O287" s="57"/>
      <c r="P287" s="40"/>
      <c r="Q287" s="60" t="str">
        <f>IF($D287="","",IF($K287&lt;&gt;"Balance Sheet / Clearing","-",IF(SUMPRODUCT(--(LEFT('7. Settlements'!$J$8:$J$107,7)=$A287),--('7. Settlements'!$M$8:$M$107="Tied out"))+SUMPRODUCT(--(LEFT('8. Transfers'!$H$9:$H$108,7)=$A287),--('8. Transfers'!$J$9:$J$108="Matched"))+SUMPRODUCT(--(LEFT('8. Transfers'!$I$9:$I$108,7)=$A287),--('8. Transfers'!$J$9:$J$108="Matched"))+IF($O287="",0,COUNTIFS('9. Payroll Allocation'!$B$234:$B$253,$O287,'9. Payroll Allocation'!$H$234:$H$253,"Tied out"))&gt;0,"Linked","MISSING DETAIL")))</f>
        <v/>
      </c>
      <c r="T287" s="58" t="str">
        <f t="shared" si="43"/>
        <v/>
      </c>
      <c r="U287" s="59" t="str">
        <f>IF($T287="","",COUNTIF($T$6:$T287,"?*"))</f>
        <v/>
      </c>
      <c r="V287" s="58" t="str">
        <f t="shared" si="44"/>
        <v/>
      </c>
    </row>
    <row r="288" spans="1:22" ht="12.95" customHeight="1" x14ac:dyDescent="0.25">
      <c r="A288" s="52" t="str">
        <f t="shared" si="36"/>
        <v/>
      </c>
      <c r="B288" s="37"/>
      <c r="C288" s="28"/>
      <c r="D288" s="35"/>
      <c r="E288" s="38"/>
      <c r="F288" s="38"/>
      <c r="G288" s="52" t="str">
        <f t="shared" si="37"/>
        <v/>
      </c>
      <c r="H288" s="53" t="str">
        <f t="shared" si="38"/>
        <v/>
      </c>
      <c r="I288" s="40"/>
      <c r="J288" s="54" t="str">
        <f t="shared" si="39"/>
        <v/>
      </c>
      <c r="K288" s="41" t="str">
        <f t="shared" si="40"/>
        <v/>
      </c>
      <c r="L288" s="55"/>
      <c r="M288" s="56">
        <f t="shared" si="41"/>
        <v>0</v>
      </c>
      <c r="N288" s="56">
        <f t="shared" si="42"/>
        <v>0</v>
      </c>
      <c r="O288" s="57"/>
      <c r="P288" s="40"/>
      <c r="Q288" s="52" t="str">
        <f>IF($D288="","",IF($K288&lt;&gt;"Balance Sheet / Clearing","-",IF(SUMPRODUCT(--(LEFT('7. Settlements'!$J$8:$J$107,7)=$A288),--('7. Settlements'!$M$8:$M$107="Tied out"))+SUMPRODUCT(--(LEFT('8. Transfers'!$H$9:$H$108,7)=$A288),--('8. Transfers'!$J$9:$J$108="Matched"))+SUMPRODUCT(--(LEFT('8. Transfers'!$I$9:$I$108,7)=$A288),--('8. Transfers'!$J$9:$J$108="Matched"))+IF($O288="",0,COUNTIFS('9. Payroll Allocation'!$B$234:$B$253,$O288,'9. Payroll Allocation'!$H$234:$H$253,"Tied out"))&gt;0,"Linked","MISSING DETAIL")))</f>
        <v/>
      </c>
      <c r="T288" s="58" t="str">
        <f t="shared" si="43"/>
        <v/>
      </c>
      <c r="U288" s="59" t="str">
        <f>IF($T288="","",COUNTIF($T$6:$T288,"?*"))</f>
        <v/>
      </c>
      <c r="V288" s="58" t="str">
        <f t="shared" si="44"/>
        <v/>
      </c>
    </row>
    <row r="289" spans="1:22" ht="12.95" customHeight="1" x14ac:dyDescent="0.25">
      <c r="A289" s="60" t="str">
        <f t="shared" si="36"/>
        <v/>
      </c>
      <c r="B289" s="37"/>
      <c r="C289" s="28"/>
      <c r="D289" s="35"/>
      <c r="E289" s="38"/>
      <c r="F289" s="38"/>
      <c r="G289" s="60" t="str">
        <f t="shared" si="37"/>
        <v/>
      </c>
      <c r="H289" s="61" t="str">
        <f t="shared" si="38"/>
        <v/>
      </c>
      <c r="I289" s="40"/>
      <c r="J289" s="62" t="str">
        <f t="shared" si="39"/>
        <v/>
      </c>
      <c r="K289" s="45" t="str">
        <f t="shared" si="40"/>
        <v/>
      </c>
      <c r="L289" s="55"/>
      <c r="M289" s="63">
        <f t="shared" si="41"/>
        <v>0</v>
      </c>
      <c r="N289" s="63">
        <f t="shared" si="42"/>
        <v>0</v>
      </c>
      <c r="O289" s="57"/>
      <c r="P289" s="40"/>
      <c r="Q289" s="60" t="str">
        <f>IF($D289="","",IF($K289&lt;&gt;"Balance Sheet / Clearing","-",IF(SUMPRODUCT(--(LEFT('7. Settlements'!$J$8:$J$107,7)=$A289),--('7. Settlements'!$M$8:$M$107="Tied out"))+SUMPRODUCT(--(LEFT('8. Transfers'!$H$9:$H$108,7)=$A289),--('8. Transfers'!$J$9:$J$108="Matched"))+SUMPRODUCT(--(LEFT('8. Transfers'!$I$9:$I$108,7)=$A289),--('8. Transfers'!$J$9:$J$108="Matched"))+IF($O289="",0,COUNTIFS('9. Payroll Allocation'!$B$234:$B$253,$O289,'9. Payroll Allocation'!$H$234:$H$253,"Tied out"))&gt;0,"Linked","MISSING DETAIL")))</f>
        <v/>
      </c>
      <c r="T289" s="58" t="str">
        <f t="shared" si="43"/>
        <v/>
      </c>
      <c r="U289" s="59" t="str">
        <f>IF($T289="","",COUNTIF($T$6:$T289,"?*"))</f>
        <v/>
      </c>
      <c r="V289" s="58" t="str">
        <f t="shared" si="44"/>
        <v/>
      </c>
    </row>
    <row r="290" spans="1:22" ht="12.95" customHeight="1" x14ac:dyDescent="0.25">
      <c r="A290" s="52" t="str">
        <f t="shared" si="36"/>
        <v/>
      </c>
      <c r="B290" s="37"/>
      <c r="C290" s="28"/>
      <c r="D290" s="35"/>
      <c r="E290" s="38"/>
      <c r="F290" s="38"/>
      <c r="G290" s="52" t="str">
        <f t="shared" si="37"/>
        <v/>
      </c>
      <c r="H290" s="53" t="str">
        <f t="shared" si="38"/>
        <v/>
      </c>
      <c r="I290" s="40"/>
      <c r="J290" s="54" t="str">
        <f t="shared" si="39"/>
        <v/>
      </c>
      <c r="K290" s="41" t="str">
        <f t="shared" si="40"/>
        <v/>
      </c>
      <c r="L290" s="55"/>
      <c r="M290" s="56">
        <f t="shared" si="41"/>
        <v>0</v>
      </c>
      <c r="N290" s="56">
        <f t="shared" si="42"/>
        <v>0</v>
      </c>
      <c r="O290" s="57"/>
      <c r="P290" s="40"/>
      <c r="Q290" s="52" t="str">
        <f>IF($D290="","",IF($K290&lt;&gt;"Balance Sheet / Clearing","-",IF(SUMPRODUCT(--(LEFT('7. Settlements'!$J$8:$J$107,7)=$A290),--('7. Settlements'!$M$8:$M$107="Tied out"))+SUMPRODUCT(--(LEFT('8. Transfers'!$H$9:$H$108,7)=$A290),--('8. Transfers'!$J$9:$J$108="Matched"))+SUMPRODUCT(--(LEFT('8. Transfers'!$I$9:$I$108,7)=$A290),--('8. Transfers'!$J$9:$J$108="Matched"))+IF($O290="",0,COUNTIFS('9. Payroll Allocation'!$B$234:$B$253,$O290,'9. Payroll Allocation'!$H$234:$H$253,"Tied out"))&gt;0,"Linked","MISSING DETAIL")))</f>
        <v/>
      </c>
      <c r="T290" s="58" t="str">
        <f t="shared" si="43"/>
        <v/>
      </c>
      <c r="U290" s="59" t="str">
        <f>IF($T290="","",COUNTIF($T$6:$T290,"?*"))</f>
        <v/>
      </c>
      <c r="V290" s="58" t="str">
        <f t="shared" si="44"/>
        <v/>
      </c>
    </row>
    <row r="291" spans="1:22" ht="12.95" customHeight="1" x14ac:dyDescent="0.25">
      <c r="A291" s="60" t="str">
        <f t="shared" si="36"/>
        <v/>
      </c>
      <c r="B291" s="37"/>
      <c r="C291" s="28"/>
      <c r="D291" s="35"/>
      <c r="E291" s="38"/>
      <c r="F291" s="38"/>
      <c r="G291" s="60" t="str">
        <f t="shared" si="37"/>
        <v/>
      </c>
      <c r="H291" s="61" t="str">
        <f t="shared" si="38"/>
        <v/>
      </c>
      <c r="I291" s="40"/>
      <c r="J291" s="62" t="str">
        <f t="shared" si="39"/>
        <v/>
      </c>
      <c r="K291" s="45" t="str">
        <f t="shared" si="40"/>
        <v/>
      </c>
      <c r="L291" s="55"/>
      <c r="M291" s="63">
        <f t="shared" si="41"/>
        <v>0</v>
      </c>
      <c r="N291" s="63">
        <f t="shared" si="42"/>
        <v>0</v>
      </c>
      <c r="O291" s="57"/>
      <c r="P291" s="40"/>
      <c r="Q291" s="60" t="str">
        <f>IF($D291="","",IF($K291&lt;&gt;"Balance Sheet / Clearing","-",IF(SUMPRODUCT(--(LEFT('7. Settlements'!$J$8:$J$107,7)=$A291),--('7. Settlements'!$M$8:$M$107="Tied out"))+SUMPRODUCT(--(LEFT('8. Transfers'!$H$9:$H$108,7)=$A291),--('8. Transfers'!$J$9:$J$108="Matched"))+SUMPRODUCT(--(LEFT('8. Transfers'!$I$9:$I$108,7)=$A291),--('8. Transfers'!$J$9:$J$108="Matched"))+IF($O291="",0,COUNTIFS('9. Payroll Allocation'!$B$234:$B$253,$O291,'9. Payroll Allocation'!$H$234:$H$253,"Tied out"))&gt;0,"Linked","MISSING DETAIL")))</f>
        <v/>
      </c>
      <c r="T291" s="58" t="str">
        <f t="shared" si="43"/>
        <v/>
      </c>
      <c r="U291" s="59" t="str">
        <f>IF($T291="","",COUNTIF($T$6:$T291,"?*"))</f>
        <v/>
      </c>
      <c r="V291" s="58" t="str">
        <f t="shared" si="44"/>
        <v/>
      </c>
    </row>
    <row r="292" spans="1:22" ht="12.95" customHeight="1" x14ac:dyDescent="0.25">
      <c r="A292" s="52" t="str">
        <f t="shared" si="36"/>
        <v/>
      </c>
      <c r="B292" s="37"/>
      <c r="C292" s="28"/>
      <c r="D292" s="35"/>
      <c r="E292" s="38"/>
      <c r="F292" s="38"/>
      <c r="G292" s="52" t="str">
        <f t="shared" si="37"/>
        <v/>
      </c>
      <c r="H292" s="53" t="str">
        <f t="shared" si="38"/>
        <v/>
      </c>
      <c r="I292" s="40"/>
      <c r="J292" s="54" t="str">
        <f t="shared" si="39"/>
        <v/>
      </c>
      <c r="K292" s="41" t="str">
        <f t="shared" si="40"/>
        <v/>
      </c>
      <c r="L292" s="55"/>
      <c r="M292" s="56">
        <f t="shared" si="41"/>
        <v>0</v>
      </c>
      <c r="N292" s="56">
        <f t="shared" si="42"/>
        <v>0</v>
      </c>
      <c r="O292" s="57"/>
      <c r="P292" s="40"/>
      <c r="Q292" s="52" t="str">
        <f>IF($D292="","",IF($K292&lt;&gt;"Balance Sheet / Clearing","-",IF(SUMPRODUCT(--(LEFT('7. Settlements'!$J$8:$J$107,7)=$A292),--('7. Settlements'!$M$8:$M$107="Tied out"))+SUMPRODUCT(--(LEFT('8. Transfers'!$H$9:$H$108,7)=$A292),--('8. Transfers'!$J$9:$J$108="Matched"))+SUMPRODUCT(--(LEFT('8. Transfers'!$I$9:$I$108,7)=$A292),--('8. Transfers'!$J$9:$J$108="Matched"))+IF($O292="",0,COUNTIFS('9. Payroll Allocation'!$B$234:$B$253,$O292,'9. Payroll Allocation'!$H$234:$H$253,"Tied out"))&gt;0,"Linked","MISSING DETAIL")))</f>
        <v/>
      </c>
      <c r="T292" s="58" t="str">
        <f t="shared" si="43"/>
        <v/>
      </c>
      <c r="U292" s="59" t="str">
        <f>IF($T292="","",COUNTIF($T$6:$T292,"?*"))</f>
        <v/>
      </c>
      <c r="V292" s="58" t="str">
        <f t="shared" si="44"/>
        <v/>
      </c>
    </row>
    <row r="293" spans="1:22" ht="12.95" customHeight="1" x14ac:dyDescent="0.25">
      <c r="A293" s="60" t="str">
        <f t="shared" si="36"/>
        <v/>
      </c>
      <c r="B293" s="37"/>
      <c r="C293" s="28"/>
      <c r="D293" s="35"/>
      <c r="E293" s="38"/>
      <c r="F293" s="38"/>
      <c r="G293" s="60" t="str">
        <f t="shared" si="37"/>
        <v/>
      </c>
      <c r="H293" s="61" t="str">
        <f t="shared" si="38"/>
        <v/>
      </c>
      <c r="I293" s="40"/>
      <c r="J293" s="62" t="str">
        <f t="shared" si="39"/>
        <v/>
      </c>
      <c r="K293" s="45" t="str">
        <f t="shared" si="40"/>
        <v/>
      </c>
      <c r="L293" s="55"/>
      <c r="M293" s="63">
        <f t="shared" si="41"/>
        <v>0</v>
      </c>
      <c r="N293" s="63">
        <f t="shared" si="42"/>
        <v>0</v>
      </c>
      <c r="O293" s="57"/>
      <c r="P293" s="40"/>
      <c r="Q293" s="60" t="str">
        <f>IF($D293="","",IF($K293&lt;&gt;"Balance Sheet / Clearing","-",IF(SUMPRODUCT(--(LEFT('7. Settlements'!$J$8:$J$107,7)=$A293),--('7. Settlements'!$M$8:$M$107="Tied out"))+SUMPRODUCT(--(LEFT('8. Transfers'!$H$9:$H$108,7)=$A293),--('8. Transfers'!$J$9:$J$108="Matched"))+SUMPRODUCT(--(LEFT('8. Transfers'!$I$9:$I$108,7)=$A293),--('8. Transfers'!$J$9:$J$108="Matched"))+IF($O293="",0,COUNTIFS('9. Payroll Allocation'!$B$234:$B$253,$O293,'9. Payroll Allocation'!$H$234:$H$253,"Tied out"))&gt;0,"Linked","MISSING DETAIL")))</f>
        <v/>
      </c>
      <c r="T293" s="58" t="str">
        <f t="shared" si="43"/>
        <v/>
      </c>
      <c r="U293" s="59" t="str">
        <f>IF($T293="","",COUNTIF($T$6:$T293,"?*"))</f>
        <v/>
      </c>
      <c r="V293" s="58" t="str">
        <f t="shared" si="44"/>
        <v/>
      </c>
    </row>
    <row r="294" spans="1:22" ht="12.95" customHeight="1" x14ac:dyDescent="0.25">
      <c r="A294" s="52" t="str">
        <f t="shared" si="36"/>
        <v/>
      </c>
      <c r="B294" s="37"/>
      <c r="C294" s="28"/>
      <c r="D294" s="35"/>
      <c r="E294" s="38"/>
      <c r="F294" s="38"/>
      <c r="G294" s="52" t="str">
        <f t="shared" si="37"/>
        <v/>
      </c>
      <c r="H294" s="53" t="str">
        <f t="shared" si="38"/>
        <v/>
      </c>
      <c r="I294" s="40"/>
      <c r="J294" s="54" t="str">
        <f t="shared" si="39"/>
        <v/>
      </c>
      <c r="K294" s="41" t="str">
        <f t="shared" si="40"/>
        <v/>
      </c>
      <c r="L294" s="55"/>
      <c r="M294" s="56">
        <f t="shared" si="41"/>
        <v>0</v>
      </c>
      <c r="N294" s="56">
        <f t="shared" si="42"/>
        <v>0</v>
      </c>
      <c r="O294" s="57"/>
      <c r="P294" s="40"/>
      <c r="Q294" s="52" t="str">
        <f>IF($D294="","",IF($K294&lt;&gt;"Balance Sheet / Clearing","-",IF(SUMPRODUCT(--(LEFT('7. Settlements'!$J$8:$J$107,7)=$A294),--('7. Settlements'!$M$8:$M$107="Tied out"))+SUMPRODUCT(--(LEFT('8. Transfers'!$H$9:$H$108,7)=$A294),--('8. Transfers'!$J$9:$J$108="Matched"))+SUMPRODUCT(--(LEFT('8. Transfers'!$I$9:$I$108,7)=$A294),--('8. Transfers'!$J$9:$J$108="Matched"))+IF($O294="",0,COUNTIFS('9. Payroll Allocation'!$B$234:$B$253,$O294,'9. Payroll Allocation'!$H$234:$H$253,"Tied out"))&gt;0,"Linked","MISSING DETAIL")))</f>
        <v/>
      </c>
      <c r="T294" s="58" t="str">
        <f t="shared" si="43"/>
        <v/>
      </c>
      <c r="U294" s="59" t="str">
        <f>IF($T294="","",COUNTIF($T$6:$T294,"?*"))</f>
        <v/>
      </c>
      <c r="V294" s="58" t="str">
        <f t="shared" si="44"/>
        <v/>
      </c>
    </row>
    <row r="295" spans="1:22" ht="12.95" customHeight="1" x14ac:dyDescent="0.25">
      <c r="A295" s="60" t="str">
        <f t="shared" si="36"/>
        <v/>
      </c>
      <c r="B295" s="37"/>
      <c r="C295" s="28"/>
      <c r="D295" s="35"/>
      <c r="E295" s="38"/>
      <c r="F295" s="38"/>
      <c r="G295" s="60" t="str">
        <f t="shared" si="37"/>
        <v/>
      </c>
      <c r="H295" s="61" t="str">
        <f t="shared" si="38"/>
        <v/>
      </c>
      <c r="I295" s="40"/>
      <c r="J295" s="62" t="str">
        <f t="shared" si="39"/>
        <v/>
      </c>
      <c r="K295" s="45" t="str">
        <f t="shared" si="40"/>
        <v/>
      </c>
      <c r="L295" s="55"/>
      <c r="M295" s="63">
        <f t="shared" si="41"/>
        <v>0</v>
      </c>
      <c r="N295" s="63">
        <f t="shared" si="42"/>
        <v>0</v>
      </c>
      <c r="O295" s="57"/>
      <c r="P295" s="40"/>
      <c r="Q295" s="60" t="str">
        <f>IF($D295="","",IF($K295&lt;&gt;"Balance Sheet / Clearing","-",IF(SUMPRODUCT(--(LEFT('7. Settlements'!$J$8:$J$107,7)=$A295),--('7. Settlements'!$M$8:$M$107="Tied out"))+SUMPRODUCT(--(LEFT('8. Transfers'!$H$9:$H$108,7)=$A295),--('8. Transfers'!$J$9:$J$108="Matched"))+SUMPRODUCT(--(LEFT('8. Transfers'!$I$9:$I$108,7)=$A295),--('8. Transfers'!$J$9:$J$108="Matched"))+IF($O295="",0,COUNTIFS('9. Payroll Allocation'!$B$234:$B$253,$O295,'9. Payroll Allocation'!$H$234:$H$253,"Tied out"))&gt;0,"Linked","MISSING DETAIL")))</f>
        <v/>
      </c>
      <c r="T295" s="58" t="str">
        <f t="shared" si="43"/>
        <v/>
      </c>
      <c r="U295" s="59" t="str">
        <f>IF($T295="","",COUNTIF($T$6:$T295,"?*"))</f>
        <v/>
      </c>
      <c r="V295" s="58" t="str">
        <f t="shared" si="44"/>
        <v/>
      </c>
    </row>
    <row r="296" spans="1:22" ht="12.95" customHeight="1" x14ac:dyDescent="0.25">
      <c r="A296" s="52" t="str">
        <f t="shared" si="36"/>
        <v/>
      </c>
      <c r="B296" s="37"/>
      <c r="C296" s="28"/>
      <c r="D296" s="35"/>
      <c r="E296" s="38"/>
      <c r="F296" s="38"/>
      <c r="G296" s="52" t="str">
        <f t="shared" si="37"/>
        <v/>
      </c>
      <c r="H296" s="53" t="str">
        <f t="shared" si="38"/>
        <v/>
      </c>
      <c r="I296" s="40"/>
      <c r="J296" s="54" t="str">
        <f t="shared" si="39"/>
        <v/>
      </c>
      <c r="K296" s="41" t="str">
        <f t="shared" si="40"/>
        <v/>
      </c>
      <c r="L296" s="55"/>
      <c r="M296" s="56">
        <f t="shared" si="41"/>
        <v>0</v>
      </c>
      <c r="N296" s="56">
        <f t="shared" si="42"/>
        <v>0</v>
      </c>
      <c r="O296" s="57"/>
      <c r="P296" s="40"/>
      <c r="Q296" s="52" t="str">
        <f>IF($D296="","",IF($K296&lt;&gt;"Balance Sheet / Clearing","-",IF(SUMPRODUCT(--(LEFT('7. Settlements'!$J$8:$J$107,7)=$A296),--('7. Settlements'!$M$8:$M$107="Tied out"))+SUMPRODUCT(--(LEFT('8. Transfers'!$H$9:$H$108,7)=$A296),--('8. Transfers'!$J$9:$J$108="Matched"))+SUMPRODUCT(--(LEFT('8. Transfers'!$I$9:$I$108,7)=$A296),--('8. Transfers'!$J$9:$J$108="Matched"))+IF($O296="",0,COUNTIFS('9. Payroll Allocation'!$B$234:$B$253,$O296,'9. Payroll Allocation'!$H$234:$H$253,"Tied out"))&gt;0,"Linked","MISSING DETAIL")))</f>
        <v/>
      </c>
      <c r="T296" s="58" t="str">
        <f t="shared" si="43"/>
        <v/>
      </c>
      <c r="U296" s="59" t="str">
        <f>IF($T296="","",COUNTIF($T$6:$T296,"?*"))</f>
        <v/>
      </c>
      <c r="V296" s="58" t="str">
        <f t="shared" si="44"/>
        <v/>
      </c>
    </row>
    <row r="297" spans="1:22" ht="12.95" customHeight="1" x14ac:dyDescent="0.25">
      <c r="A297" s="60" t="str">
        <f t="shared" si="36"/>
        <v/>
      </c>
      <c r="B297" s="37"/>
      <c r="C297" s="28"/>
      <c r="D297" s="35"/>
      <c r="E297" s="38"/>
      <c r="F297" s="38"/>
      <c r="G297" s="60" t="str">
        <f t="shared" si="37"/>
        <v/>
      </c>
      <c r="H297" s="61" t="str">
        <f t="shared" si="38"/>
        <v/>
      </c>
      <c r="I297" s="40"/>
      <c r="J297" s="62" t="str">
        <f t="shared" si="39"/>
        <v/>
      </c>
      <c r="K297" s="45" t="str">
        <f t="shared" si="40"/>
        <v/>
      </c>
      <c r="L297" s="55"/>
      <c r="M297" s="63">
        <f t="shared" si="41"/>
        <v>0</v>
      </c>
      <c r="N297" s="63">
        <f t="shared" si="42"/>
        <v>0</v>
      </c>
      <c r="O297" s="57"/>
      <c r="P297" s="40"/>
      <c r="Q297" s="60" t="str">
        <f>IF($D297="","",IF($K297&lt;&gt;"Balance Sheet / Clearing","-",IF(SUMPRODUCT(--(LEFT('7. Settlements'!$J$8:$J$107,7)=$A297),--('7. Settlements'!$M$8:$M$107="Tied out"))+SUMPRODUCT(--(LEFT('8. Transfers'!$H$9:$H$108,7)=$A297),--('8. Transfers'!$J$9:$J$108="Matched"))+SUMPRODUCT(--(LEFT('8. Transfers'!$I$9:$I$108,7)=$A297),--('8. Transfers'!$J$9:$J$108="Matched"))+IF($O297="",0,COUNTIFS('9. Payroll Allocation'!$B$234:$B$253,$O297,'9. Payroll Allocation'!$H$234:$H$253,"Tied out"))&gt;0,"Linked","MISSING DETAIL")))</f>
        <v/>
      </c>
      <c r="T297" s="58" t="str">
        <f t="shared" si="43"/>
        <v/>
      </c>
      <c r="U297" s="59" t="str">
        <f>IF($T297="","",COUNTIF($T$6:$T297,"?*"))</f>
        <v/>
      </c>
      <c r="V297" s="58" t="str">
        <f t="shared" si="44"/>
        <v/>
      </c>
    </row>
    <row r="298" spans="1:22" ht="12.95" customHeight="1" x14ac:dyDescent="0.25">
      <c r="A298" s="52" t="str">
        <f t="shared" si="36"/>
        <v/>
      </c>
      <c r="B298" s="37"/>
      <c r="C298" s="28"/>
      <c r="D298" s="35"/>
      <c r="E298" s="38"/>
      <c r="F298" s="38"/>
      <c r="G298" s="52" t="str">
        <f t="shared" si="37"/>
        <v/>
      </c>
      <c r="H298" s="53" t="str">
        <f t="shared" si="38"/>
        <v/>
      </c>
      <c r="I298" s="40"/>
      <c r="J298" s="54" t="str">
        <f t="shared" si="39"/>
        <v/>
      </c>
      <c r="K298" s="41" t="str">
        <f t="shared" si="40"/>
        <v/>
      </c>
      <c r="L298" s="55"/>
      <c r="M298" s="56">
        <f t="shared" si="41"/>
        <v>0</v>
      </c>
      <c r="N298" s="56">
        <f t="shared" si="42"/>
        <v>0</v>
      </c>
      <c r="O298" s="57"/>
      <c r="P298" s="40"/>
      <c r="Q298" s="52" t="str">
        <f>IF($D298="","",IF($K298&lt;&gt;"Balance Sheet / Clearing","-",IF(SUMPRODUCT(--(LEFT('7. Settlements'!$J$8:$J$107,7)=$A298),--('7. Settlements'!$M$8:$M$107="Tied out"))+SUMPRODUCT(--(LEFT('8. Transfers'!$H$9:$H$108,7)=$A298),--('8. Transfers'!$J$9:$J$108="Matched"))+SUMPRODUCT(--(LEFT('8. Transfers'!$I$9:$I$108,7)=$A298),--('8. Transfers'!$J$9:$J$108="Matched"))+IF($O298="",0,COUNTIFS('9. Payroll Allocation'!$B$234:$B$253,$O298,'9. Payroll Allocation'!$H$234:$H$253,"Tied out"))&gt;0,"Linked","MISSING DETAIL")))</f>
        <v/>
      </c>
      <c r="T298" s="58" t="str">
        <f t="shared" si="43"/>
        <v/>
      </c>
      <c r="U298" s="59" t="str">
        <f>IF($T298="","",COUNTIF($T$6:$T298,"?*"))</f>
        <v/>
      </c>
      <c r="V298" s="58" t="str">
        <f t="shared" si="44"/>
        <v/>
      </c>
    </row>
    <row r="299" spans="1:22" ht="12.95" customHeight="1" x14ac:dyDescent="0.25">
      <c r="A299" s="60" t="str">
        <f t="shared" si="36"/>
        <v/>
      </c>
      <c r="B299" s="37"/>
      <c r="C299" s="28"/>
      <c r="D299" s="35"/>
      <c r="E299" s="38"/>
      <c r="F299" s="38"/>
      <c r="G299" s="60" t="str">
        <f t="shared" si="37"/>
        <v/>
      </c>
      <c r="H299" s="61" t="str">
        <f t="shared" si="38"/>
        <v/>
      </c>
      <c r="I299" s="40"/>
      <c r="J299" s="62" t="str">
        <f t="shared" si="39"/>
        <v/>
      </c>
      <c r="K299" s="45" t="str">
        <f t="shared" si="40"/>
        <v/>
      </c>
      <c r="L299" s="55"/>
      <c r="M299" s="63">
        <f t="shared" si="41"/>
        <v>0</v>
      </c>
      <c r="N299" s="63">
        <f t="shared" si="42"/>
        <v>0</v>
      </c>
      <c r="O299" s="57"/>
      <c r="P299" s="40"/>
      <c r="Q299" s="60" t="str">
        <f>IF($D299="","",IF($K299&lt;&gt;"Balance Sheet / Clearing","-",IF(SUMPRODUCT(--(LEFT('7. Settlements'!$J$8:$J$107,7)=$A299),--('7. Settlements'!$M$8:$M$107="Tied out"))+SUMPRODUCT(--(LEFT('8. Transfers'!$H$9:$H$108,7)=$A299),--('8. Transfers'!$J$9:$J$108="Matched"))+SUMPRODUCT(--(LEFT('8. Transfers'!$I$9:$I$108,7)=$A299),--('8. Transfers'!$J$9:$J$108="Matched"))+IF($O299="",0,COUNTIFS('9. Payroll Allocation'!$B$234:$B$253,$O299,'9. Payroll Allocation'!$H$234:$H$253,"Tied out"))&gt;0,"Linked","MISSING DETAIL")))</f>
        <v/>
      </c>
      <c r="T299" s="58" t="str">
        <f t="shared" si="43"/>
        <v/>
      </c>
      <c r="U299" s="59" t="str">
        <f>IF($T299="","",COUNTIF($T$6:$T299,"?*"))</f>
        <v/>
      </c>
      <c r="V299" s="58" t="str">
        <f t="shared" si="44"/>
        <v/>
      </c>
    </row>
    <row r="300" spans="1:22" ht="12.95" customHeight="1" x14ac:dyDescent="0.25">
      <c r="A300" s="52" t="str">
        <f t="shared" si="36"/>
        <v/>
      </c>
      <c r="B300" s="37"/>
      <c r="C300" s="28"/>
      <c r="D300" s="35"/>
      <c r="E300" s="38"/>
      <c r="F300" s="38"/>
      <c r="G300" s="52" t="str">
        <f t="shared" si="37"/>
        <v/>
      </c>
      <c r="H300" s="53" t="str">
        <f t="shared" si="38"/>
        <v/>
      </c>
      <c r="I300" s="40"/>
      <c r="J300" s="54" t="str">
        <f t="shared" si="39"/>
        <v/>
      </c>
      <c r="K300" s="41" t="str">
        <f t="shared" si="40"/>
        <v/>
      </c>
      <c r="L300" s="55"/>
      <c r="M300" s="56">
        <f t="shared" si="41"/>
        <v>0</v>
      </c>
      <c r="N300" s="56">
        <f t="shared" si="42"/>
        <v>0</v>
      </c>
      <c r="O300" s="57"/>
      <c r="P300" s="40"/>
      <c r="Q300" s="52" t="str">
        <f>IF($D300="","",IF($K300&lt;&gt;"Balance Sheet / Clearing","-",IF(SUMPRODUCT(--(LEFT('7. Settlements'!$J$8:$J$107,7)=$A300),--('7. Settlements'!$M$8:$M$107="Tied out"))+SUMPRODUCT(--(LEFT('8. Transfers'!$H$9:$H$108,7)=$A300),--('8. Transfers'!$J$9:$J$108="Matched"))+SUMPRODUCT(--(LEFT('8. Transfers'!$I$9:$I$108,7)=$A300),--('8. Transfers'!$J$9:$J$108="Matched"))+IF($O300="",0,COUNTIFS('9. Payroll Allocation'!$B$234:$B$253,$O300,'9. Payroll Allocation'!$H$234:$H$253,"Tied out"))&gt;0,"Linked","MISSING DETAIL")))</f>
        <v/>
      </c>
      <c r="T300" s="58" t="str">
        <f t="shared" si="43"/>
        <v/>
      </c>
      <c r="U300" s="59" t="str">
        <f>IF($T300="","",COUNTIF($T$6:$T300,"?*"))</f>
        <v/>
      </c>
      <c r="V300" s="58" t="str">
        <f t="shared" si="44"/>
        <v/>
      </c>
    </row>
    <row r="301" spans="1:22" ht="12.95" customHeight="1" x14ac:dyDescent="0.25">
      <c r="A301" s="60" t="str">
        <f t="shared" si="36"/>
        <v/>
      </c>
      <c r="B301" s="37"/>
      <c r="C301" s="28"/>
      <c r="D301" s="35"/>
      <c r="E301" s="38"/>
      <c r="F301" s="38"/>
      <c r="G301" s="60" t="str">
        <f t="shared" si="37"/>
        <v/>
      </c>
      <c r="H301" s="61" t="str">
        <f t="shared" si="38"/>
        <v/>
      </c>
      <c r="I301" s="40"/>
      <c r="J301" s="62" t="str">
        <f t="shared" si="39"/>
        <v/>
      </c>
      <c r="K301" s="45" t="str">
        <f t="shared" si="40"/>
        <v/>
      </c>
      <c r="L301" s="55"/>
      <c r="M301" s="63">
        <f t="shared" si="41"/>
        <v>0</v>
      </c>
      <c r="N301" s="63">
        <f t="shared" si="42"/>
        <v>0</v>
      </c>
      <c r="O301" s="57"/>
      <c r="P301" s="40"/>
      <c r="Q301" s="60" t="str">
        <f>IF($D301="","",IF($K301&lt;&gt;"Balance Sheet / Clearing","-",IF(SUMPRODUCT(--(LEFT('7. Settlements'!$J$8:$J$107,7)=$A301),--('7. Settlements'!$M$8:$M$107="Tied out"))+SUMPRODUCT(--(LEFT('8. Transfers'!$H$9:$H$108,7)=$A301),--('8. Transfers'!$J$9:$J$108="Matched"))+SUMPRODUCT(--(LEFT('8. Transfers'!$I$9:$I$108,7)=$A301),--('8. Transfers'!$J$9:$J$108="Matched"))+IF($O301="",0,COUNTIFS('9. Payroll Allocation'!$B$234:$B$253,$O301,'9. Payroll Allocation'!$H$234:$H$253,"Tied out"))&gt;0,"Linked","MISSING DETAIL")))</f>
        <v/>
      </c>
      <c r="T301" s="58" t="str">
        <f t="shared" si="43"/>
        <v/>
      </c>
      <c r="U301" s="59" t="str">
        <f>IF($T301="","",COUNTIF($T$6:$T301,"?*"))</f>
        <v/>
      </c>
      <c r="V301" s="58" t="str">
        <f t="shared" si="44"/>
        <v/>
      </c>
    </row>
    <row r="302" spans="1:22" ht="12.95" customHeight="1" x14ac:dyDescent="0.25">
      <c r="A302" s="52" t="str">
        <f t="shared" si="36"/>
        <v/>
      </c>
      <c r="B302" s="37"/>
      <c r="C302" s="28"/>
      <c r="D302" s="35"/>
      <c r="E302" s="38"/>
      <c r="F302" s="38"/>
      <c r="G302" s="52" t="str">
        <f t="shared" si="37"/>
        <v/>
      </c>
      <c r="H302" s="53" t="str">
        <f t="shared" si="38"/>
        <v/>
      </c>
      <c r="I302" s="40"/>
      <c r="J302" s="54" t="str">
        <f t="shared" si="39"/>
        <v/>
      </c>
      <c r="K302" s="41" t="str">
        <f t="shared" si="40"/>
        <v/>
      </c>
      <c r="L302" s="55"/>
      <c r="M302" s="56">
        <f t="shared" si="41"/>
        <v>0</v>
      </c>
      <c r="N302" s="56">
        <f t="shared" si="42"/>
        <v>0</v>
      </c>
      <c r="O302" s="57"/>
      <c r="P302" s="40"/>
      <c r="Q302" s="52" t="str">
        <f>IF($D302="","",IF($K302&lt;&gt;"Balance Sheet / Clearing","-",IF(SUMPRODUCT(--(LEFT('7. Settlements'!$J$8:$J$107,7)=$A302),--('7. Settlements'!$M$8:$M$107="Tied out"))+SUMPRODUCT(--(LEFT('8. Transfers'!$H$9:$H$108,7)=$A302),--('8. Transfers'!$J$9:$J$108="Matched"))+SUMPRODUCT(--(LEFT('8. Transfers'!$I$9:$I$108,7)=$A302),--('8. Transfers'!$J$9:$J$108="Matched"))+IF($O302="",0,COUNTIFS('9. Payroll Allocation'!$B$234:$B$253,$O302,'9. Payroll Allocation'!$H$234:$H$253,"Tied out"))&gt;0,"Linked","MISSING DETAIL")))</f>
        <v/>
      </c>
      <c r="T302" s="58" t="str">
        <f t="shared" si="43"/>
        <v/>
      </c>
      <c r="U302" s="59" t="str">
        <f>IF($T302="","",COUNTIF($T$6:$T302,"?*"))</f>
        <v/>
      </c>
      <c r="V302" s="58" t="str">
        <f t="shared" si="44"/>
        <v/>
      </c>
    </row>
    <row r="303" spans="1:22" ht="12.95" customHeight="1" x14ac:dyDescent="0.25">
      <c r="A303" s="60" t="str">
        <f t="shared" si="36"/>
        <v/>
      </c>
      <c r="B303" s="37"/>
      <c r="C303" s="28"/>
      <c r="D303" s="35"/>
      <c r="E303" s="38"/>
      <c r="F303" s="38"/>
      <c r="G303" s="60" t="str">
        <f t="shared" si="37"/>
        <v/>
      </c>
      <c r="H303" s="61" t="str">
        <f t="shared" si="38"/>
        <v/>
      </c>
      <c r="I303" s="40"/>
      <c r="J303" s="62" t="str">
        <f t="shared" si="39"/>
        <v/>
      </c>
      <c r="K303" s="45" t="str">
        <f t="shared" si="40"/>
        <v/>
      </c>
      <c r="L303" s="55"/>
      <c r="M303" s="63">
        <f t="shared" si="41"/>
        <v>0</v>
      </c>
      <c r="N303" s="63">
        <f t="shared" si="42"/>
        <v>0</v>
      </c>
      <c r="O303" s="57"/>
      <c r="P303" s="40"/>
      <c r="Q303" s="60" t="str">
        <f>IF($D303="","",IF($K303&lt;&gt;"Balance Sheet / Clearing","-",IF(SUMPRODUCT(--(LEFT('7. Settlements'!$J$8:$J$107,7)=$A303),--('7. Settlements'!$M$8:$M$107="Tied out"))+SUMPRODUCT(--(LEFT('8. Transfers'!$H$9:$H$108,7)=$A303),--('8. Transfers'!$J$9:$J$108="Matched"))+SUMPRODUCT(--(LEFT('8. Transfers'!$I$9:$I$108,7)=$A303),--('8. Transfers'!$J$9:$J$108="Matched"))+IF($O303="",0,COUNTIFS('9. Payroll Allocation'!$B$234:$B$253,$O303,'9. Payroll Allocation'!$H$234:$H$253,"Tied out"))&gt;0,"Linked","MISSING DETAIL")))</f>
        <v/>
      </c>
      <c r="T303" s="58" t="str">
        <f t="shared" si="43"/>
        <v/>
      </c>
      <c r="U303" s="59" t="str">
        <f>IF($T303="","",COUNTIF($T$6:$T303,"?*"))</f>
        <v/>
      </c>
      <c r="V303" s="58" t="str">
        <f t="shared" si="44"/>
        <v/>
      </c>
    </row>
    <row r="304" spans="1:22" ht="12.95" customHeight="1" x14ac:dyDescent="0.25">
      <c r="A304" s="52" t="str">
        <f t="shared" si="36"/>
        <v/>
      </c>
      <c r="B304" s="37"/>
      <c r="C304" s="28"/>
      <c r="D304" s="35"/>
      <c r="E304" s="38"/>
      <c r="F304" s="38"/>
      <c r="G304" s="52" t="str">
        <f t="shared" si="37"/>
        <v/>
      </c>
      <c r="H304" s="53" t="str">
        <f t="shared" si="38"/>
        <v/>
      </c>
      <c r="I304" s="40"/>
      <c r="J304" s="54" t="str">
        <f t="shared" si="39"/>
        <v/>
      </c>
      <c r="K304" s="41" t="str">
        <f t="shared" si="40"/>
        <v/>
      </c>
      <c r="L304" s="55"/>
      <c r="M304" s="56">
        <f t="shared" si="41"/>
        <v>0</v>
      </c>
      <c r="N304" s="56">
        <f t="shared" si="42"/>
        <v>0</v>
      </c>
      <c r="O304" s="57"/>
      <c r="P304" s="40"/>
      <c r="Q304" s="52" t="str">
        <f>IF($D304="","",IF($K304&lt;&gt;"Balance Sheet / Clearing","-",IF(SUMPRODUCT(--(LEFT('7. Settlements'!$J$8:$J$107,7)=$A304),--('7. Settlements'!$M$8:$M$107="Tied out"))+SUMPRODUCT(--(LEFT('8. Transfers'!$H$9:$H$108,7)=$A304),--('8. Transfers'!$J$9:$J$108="Matched"))+SUMPRODUCT(--(LEFT('8. Transfers'!$I$9:$I$108,7)=$A304),--('8. Transfers'!$J$9:$J$108="Matched"))+IF($O304="",0,COUNTIFS('9. Payroll Allocation'!$B$234:$B$253,$O304,'9. Payroll Allocation'!$H$234:$H$253,"Tied out"))&gt;0,"Linked","MISSING DETAIL")))</f>
        <v/>
      </c>
      <c r="T304" s="58" t="str">
        <f t="shared" si="43"/>
        <v/>
      </c>
      <c r="U304" s="59" t="str">
        <f>IF($T304="","",COUNTIF($T$6:$T304,"?*"))</f>
        <v/>
      </c>
      <c r="V304" s="58" t="str">
        <f t="shared" si="44"/>
        <v/>
      </c>
    </row>
    <row r="305" spans="1:22" ht="12.95" customHeight="1" x14ac:dyDescent="0.25">
      <c r="A305" s="60" t="str">
        <f t="shared" si="36"/>
        <v/>
      </c>
      <c r="B305" s="37"/>
      <c r="C305" s="28"/>
      <c r="D305" s="35"/>
      <c r="E305" s="38"/>
      <c r="F305" s="38"/>
      <c r="G305" s="60" t="str">
        <f t="shared" si="37"/>
        <v/>
      </c>
      <c r="H305" s="61" t="str">
        <f t="shared" si="38"/>
        <v/>
      </c>
      <c r="I305" s="40"/>
      <c r="J305" s="62" t="str">
        <f t="shared" si="39"/>
        <v/>
      </c>
      <c r="K305" s="45" t="str">
        <f t="shared" si="40"/>
        <v/>
      </c>
      <c r="L305" s="55"/>
      <c r="M305" s="63">
        <f t="shared" si="41"/>
        <v>0</v>
      </c>
      <c r="N305" s="63">
        <f t="shared" si="42"/>
        <v>0</v>
      </c>
      <c r="O305" s="57"/>
      <c r="P305" s="40"/>
      <c r="Q305" s="60" t="str">
        <f>IF($D305="","",IF($K305&lt;&gt;"Balance Sheet / Clearing","-",IF(SUMPRODUCT(--(LEFT('7. Settlements'!$J$8:$J$107,7)=$A305),--('7. Settlements'!$M$8:$M$107="Tied out"))+SUMPRODUCT(--(LEFT('8. Transfers'!$H$9:$H$108,7)=$A305),--('8. Transfers'!$J$9:$J$108="Matched"))+SUMPRODUCT(--(LEFT('8. Transfers'!$I$9:$I$108,7)=$A305),--('8. Transfers'!$J$9:$J$108="Matched"))+IF($O305="",0,COUNTIFS('9. Payroll Allocation'!$B$234:$B$253,$O305,'9. Payroll Allocation'!$H$234:$H$253,"Tied out"))&gt;0,"Linked","MISSING DETAIL")))</f>
        <v/>
      </c>
      <c r="T305" s="58" t="str">
        <f t="shared" si="43"/>
        <v/>
      </c>
      <c r="U305" s="59" t="str">
        <f>IF($T305="","",COUNTIF($T$6:$T305,"?*"))</f>
        <v/>
      </c>
      <c r="V305" s="58" t="str">
        <f t="shared" si="44"/>
        <v/>
      </c>
    </row>
    <row r="306" spans="1:22" ht="12.95" customHeight="1" x14ac:dyDescent="0.25">
      <c r="A306" s="52" t="str">
        <f t="shared" si="36"/>
        <v/>
      </c>
      <c r="B306" s="37"/>
      <c r="C306" s="28"/>
      <c r="D306" s="35"/>
      <c r="E306" s="38"/>
      <c r="F306" s="38"/>
      <c r="G306" s="52" t="str">
        <f t="shared" si="37"/>
        <v/>
      </c>
      <c r="H306" s="53" t="str">
        <f t="shared" si="38"/>
        <v/>
      </c>
      <c r="I306" s="40"/>
      <c r="J306" s="54" t="str">
        <f t="shared" si="39"/>
        <v/>
      </c>
      <c r="K306" s="41" t="str">
        <f t="shared" si="40"/>
        <v/>
      </c>
      <c r="L306" s="55"/>
      <c r="M306" s="56">
        <f t="shared" si="41"/>
        <v>0</v>
      </c>
      <c r="N306" s="56">
        <f t="shared" si="42"/>
        <v>0</v>
      </c>
      <c r="O306" s="57"/>
      <c r="P306" s="40"/>
      <c r="Q306" s="52" t="str">
        <f>IF($D306="","",IF($K306&lt;&gt;"Balance Sheet / Clearing","-",IF(SUMPRODUCT(--(LEFT('7. Settlements'!$J$8:$J$107,7)=$A306),--('7. Settlements'!$M$8:$M$107="Tied out"))+SUMPRODUCT(--(LEFT('8. Transfers'!$H$9:$H$108,7)=$A306),--('8. Transfers'!$J$9:$J$108="Matched"))+SUMPRODUCT(--(LEFT('8. Transfers'!$I$9:$I$108,7)=$A306),--('8. Transfers'!$J$9:$J$108="Matched"))+IF($O306="",0,COUNTIFS('9. Payroll Allocation'!$B$234:$B$253,$O306,'9. Payroll Allocation'!$H$234:$H$253,"Tied out"))&gt;0,"Linked","MISSING DETAIL")))</f>
        <v/>
      </c>
      <c r="T306" s="58" t="str">
        <f t="shared" si="43"/>
        <v/>
      </c>
      <c r="U306" s="59" t="str">
        <f>IF($T306="","",COUNTIF($T$6:$T306,"?*"))</f>
        <v/>
      </c>
      <c r="V306" s="58" t="str">
        <f t="shared" si="44"/>
        <v/>
      </c>
    </row>
    <row r="307" spans="1:22" ht="12.95" customHeight="1" x14ac:dyDescent="0.25">
      <c r="A307" s="60" t="str">
        <f t="shared" si="36"/>
        <v/>
      </c>
      <c r="B307" s="37"/>
      <c r="C307" s="28"/>
      <c r="D307" s="35"/>
      <c r="E307" s="38"/>
      <c r="F307" s="38"/>
      <c r="G307" s="60" t="str">
        <f t="shared" si="37"/>
        <v/>
      </c>
      <c r="H307" s="61" t="str">
        <f t="shared" si="38"/>
        <v/>
      </c>
      <c r="I307" s="40"/>
      <c r="J307" s="62" t="str">
        <f t="shared" si="39"/>
        <v/>
      </c>
      <c r="K307" s="45" t="str">
        <f t="shared" si="40"/>
        <v/>
      </c>
      <c r="L307" s="55"/>
      <c r="M307" s="63">
        <f t="shared" si="41"/>
        <v>0</v>
      </c>
      <c r="N307" s="63">
        <f t="shared" si="42"/>
        <v>0</v>
      </c>
      <c r="O307" s="57"/>
      <c r="P307" s="40"/>
      <c r="Q307" s="60" t="str">
        <f>IF($D307="","",IF($K307&lt;&gt;"Balance Sheet / Clearing","-",IF(SUMPRODUCT(--(LEFT('7. Settlements'!$J$8:$J$107,7)=$A307),--('7. Settlements'!$M$8:$M$107="Tied out"))+SUMPRODUCT(--(LEFT('8. Transfers'!$H$9:$H$108,7)=$A307),--('8. Transfers'!$J$9:$J$108="Matched"))+SUMPRODUCT(--(LEFT('8. Transfers'!$I$9:$I$108,7)=$A307),--('8. Transfers'!$J$9:$J$108="Matched"))+IF($O307="",0,COUNTIFS('9. Payroll Allocation'!$B$234:$B$253,$O307,'9. Payroll Allocation'!$H$234:$H$253,"Tied out"))&gt;0,"Linked","MISSING DETAIL")))</f>
        <v/>
      </c>
      <c r="T307" s="58" t="str">
        <f t="shared" si="43"/>
        <v/>
      </c>
      <c r="U307" s="59" t="str">
        <f>IF($T307="","",COUNTIF($T$6:$T307,"?*"))</f>
        <v/>
      </c>
      <c r="V307" s="58" t="str">
        <f t="shared" si="44"/>
        <v/>
      </c>
    </row>
    <row r="308" spans="1:22" ht="12.95" customHeight="1" x14ac:dyDescent="0.25">
      <c r="A308" s="52" t="str">
        <f t="shared" si="36"/>
        <v/>
      </c>
      <c r="B308" s="37"/>
      <c r="C308" s="28"/>
      <c r="D308" s="35"/>
      <c r="E308" s="38"/>
      <c r="F308" s="38"/>
      <c r="G308" s="52" t="str">
        <f t="shared" si="37"/>
        <v/>
      </c>
      <c r="H308" s="53" t="str">
        <f t="shared" si="38"/>
        <v/>
      </c>
      <c r="I308" s="40"/>
      <c r="J308" s="54" t="str">
        <f t="shared" si="39"/>
        <v/>
      </c>
      <c r="K308" s="41" t="str">
        <f t="shared" si="40"/>
        <v/>
      </c>
      <c r="L308" s="55"/>
      <c r="M308" s="56">
        <f t="shared" si="41"/>
        <v>0</v>
      </c>
      <c r="N308" s="56">
        <f t="shared" si="42"/>
        <v>0</v>
      </c>
      <c r="O308" s="57"/>
      <c r="P308" s="40"/>
      <c r="Q308" s="52" t="str">
        <f>IF($D308="","",IF($K308&lt;&gt;"Balance Sheet / Clearing","-",IF(SUMPRODUCT(--(LEFT('7. Settlements'!$J$8:$J$107,7)=$A308),--('7. Settlements'!$M$8:$M$107="Tied out"))+SUMPRODUCT(--(LEFT('8. Transfers'!$H$9:$H$108,7)=$A308),--('8. Transfers'!$J$9:$J$108="Matched"))+SUMPRODUCT(--(LEFT('8. Transfers'!$I$9:$I$108,7)=$A308),--('8. Transfers'!$J$9:$J$108="Matched"))+IF($O308="",0,COUNTIFS('9. Payroll Allocation'!$B$234:$B$253,$O308,'9. Payroll Allocation'!$H$234:$H$253,"Tied out"))&gt;0,"Linked","MISSING DETAIL")))</f>
        <v/>
      </c>
      <c r="T308" s="58" t="str">
        <f t="shared" si="43"/>
        <v/>
      </c>
      <c r="U308" s="59" t="str">
        <f>IF($T308="","",COUNTIF($T$6:$T308,"?*"))</f>
        <v/>
      </c>
      <c r="V308" s="58" t="str">
        <f t="shared" si="44"/>
        <v/>
      </c>
    </row>
    <row r="309" spans="1:22" ht="12.95" customHeight="1" x14ac:dyDescent="0.25">
      <c r="A309" s="60" t="str">
        <f t="shared" si="36"/>
        <v/>
      </c>
      <c r="B309" s="37"/>
      <c r="C309" s="28"/>
      <c r="D309" s="35"/>
      <c r="E309" s="38"/>
      <c r="F309" s="38"/>
      <c r="G309" s="60" t="str">
        <f t="shared" si="37"/>
        <v/>
      </c>
      <c r="H309" s="61" t="str">
        <f t="shared" si="38"/>
        <v/>
      </c>
      <c r="I309" s="40"/>
      <c r="J309" s="62" t="str">
        <f t="shared" si="39"/>
        <v/>
      </c>
      <c r="K309" s="45" t="str">
        <f t="shared" si="40"/>
        <v/>
      </c>
      <c r="L309" s="55"/>
      <c r="M309" s="63">
        <f t="shared" si="41"/>
        <v>0</v>
      </c>
      <c r="N309" s="63">
        <f t="shared" si="42"/>
        <v>0</v>
      </c>
      <c r="O309" s="57"/>
      <c r="P309" s="40"/>
      <c r="Q309" s="60" t="str">
        <f>IF($D309="","",IF($K309&lt;&gt;"Balance Sheet / Clearing","-",IF(SUMPRODUCT(--(LEFT('7. Settlements'!$J$8:$J$107,7)=$A309),--('7. Settlements'!$M$8:$M$107="Tied out"))+SUMPRODUCT(--(LEFT('8. Transfers'!$H$9:$H$108,7)=$A309),--('8. Transfers'!$J$9:$J$108="Matched"))+SUMPRODUCT(--(LEFT('8. Transfers'!$I$9:$I$108,7)=$A309),--('8. Transfers'!$J$9:$J$108="Matched"))+IF($O309="",0,COUNTIFS('9. Payroll Allocation'!$B$234:$B$253,$O309,'9. Payroll Allocation'!$H$234:$H$253,"Tied out"))&gt;0,"Linked","MISSING DETAIL")))</f>
        <v/>
      </c>
      <c r="T309" s="58" t="str">
        <f t="shared" si="43"/>
        <v/>
      </c>
      <c r="U309" s="59" t="str">
        <f>IF($T309="","",COUNTIF($T$6:$T309,"?*"))</f>
        <v/>
      </c>
      <c r="V309" s="58" t="str">
        <f t="shared" si="44"/>
        <v/>
      </c>
    </row>
    <row r="310" spans="1:22" ht="12.95" customHeight="1" x14ac:dyDescent="0.25">
      <c r="A310" s="52" t="str">
        <f t="shared" si="36"/>
        <v/>
      </c>
      <c r="B310" s="37"/>
      <c r="C310" s="28"/>
      <c r="D310" s="35"/>
      <c r="E310" s="38"/>
      <c r="F310" s="38"/>
      <c r="G310" s="52" t="str">
        <f t="shared" si="37"/>
        <v/>
      </c>
      <c r="H310" s="53" t="str">
        <f t="shared" si="38"/>
        <v/>
      </c>
      <c r="I310" s="40"/>
      <c r="J310" s="54" t="str">
        <f t="shared" si="39"/>
        <v/>
      </c>
      <c r="K310" s="41" t="str">
        <f t="shared" si="40"/>
        <v/>
      </c>
      <c r="L310" s="55"/>
      <c r="M310" s="56">
        <f t="shared" si="41"/>
        <v>0</v>
      </c>
      <c r="N310" s="56">
        <f t="shared" si="42"/>
        <v>0</v>
      </c>
      <c r="O310" s="57"/>
      <c r="P310" s="40"/>
      <c r="Q310" s="52" t="str">
        <f>IF($D310="","",IF($K310&lt;&gt;"Balance Sheet / Clearing","-",IF(SUMPRODUCT(--(LEFT('7. Settlements'!$J$8:$J$107,7)=$A310),--('7. Settlements'!$M$8:$M$107="Tied out"))+SUMPRODUCT(--(LEFT('8. Transfers'!$H$9:$H$108,7)=$A310),--('8. Transfers'!$J$9:$J$108="Matched"))+SUMPRODUCT(--(LEFT('8. Transfers'!$I$9:$I$108,7)=$A310),--('8. Transfers'!$J$9:$J$108="Matched"))+IF($O310="",0,COUNTIFS('9. Payroll Allocation'!$B$234:$B$253,$O310,'9. Payroll Allocation'!$H$234:$H$253,"Tied out"))&gt;0,"Linked","MISSING DETAIL")))</f>
        <v/>
      </c>
      <c r="T310" s="58" t="str">
        <f t="shared" si="43"/>
        <v/>
      </c>
      <c r="U310" s="59" t="str">
        <f>IF($T310="","",COUNTIF($T$6:$T310,"?*"))</f>
        <v/>
      </c>
      <c r="V310" s="58" t="str">
        <f t="shared" si="44"/>
        <v/>
      </c>
    </row>
    <row r="311" spans="1:22" ht="12.95" customHeight="1" x14ac:dyDescent="0.25">
      <c r="A311" s="60" t="str">
        <f t="shared" si="36"/>
        <v/>
      </c>
      <c r="B311" s="37"/>
      <c r="C311" s="28"/>
      <c r="D311" s="35"/>
      <c r="E311" s="38"/>
      <c r="F311" s="38"/>
      <c r="G311" s="60" t="str">
        <f t="shared" si="37"/>
        <v/>
      </c>
      <c r="H311" s="61" t="str">
        <f t="shared" si="38"/>
        <v/>
      </c>
      <c r="I311" s="40"/>
      <c r="J311" s="62" t="str">
        <f t="shared" si="39"/>
        <v/>
      </c>
      <c r="K311" s="45" t="str">
        <f t="shared" si="40"/>
        <v/>
      </c>
      <c r="L311" s="55"/>
      <c r="M311" s="63">
        <f t="shared" si="41"/>
        <v>0</v>
      </c>
      <c r="N311" s="63">
        <f t="shared" si="42"/>
        <v>0</v>
      </c>
      <c r="O311" s="57"/>
      <c r="P311" s="40"/>
      <c r="Q311" s="60" t="str">
        <f>IF($D311="","",IF($K311&lt;&gt;"Balance Sheet / Clearing","-",IF(SUMPRODUCT(--(LEFT('7. Settlements'!$J$8:$J$107,7)=$A311),--('7. Settlements'!$M$8:$M$107="Tied out"))+SUMPRODUCT(--(LEFT('8. Transfers'!$H$9:$H$108,7)=$A311),--('8. Transfers'!$J$9:$J$108="Matched"))+SUMPRODUCT(--(LEFT('8. Transfers'!$I$9:$I$108,7)=$A311),--('8. Transfers'!$J$9:$J$108="Matched"))+IF($O311="",0,COUNTIFS('9. Payroll Allocation'!$B$234:$B$253,$O311,'9. Payroll Allocation'!$H$234:$H$253,"Tied out"))&gt;0,"Linked","MISSING DETAIL")))</f>
        <v/>
      </c>
      <c r="T311" s="58" t="str">
        <f t="shared" si="43"/>
        <v/>
      </c>
      <c r="U311" s="59" t="str">
        <f>IF($T311="","",COUNTIF($T$6:$T311,"?*"))</f>
        <v/>
      </c>
      <c r="V311" s="58" t="str">
        <f t="shared" si="44"/>
        <v/>
      </c>
    </row>
    <row r="312" spans="1:22" ht="12.95" customHeight="1" x14ac:dyDescent="0.25">
      <c r="A312" s="52" t="str">
        <f t="shared" si="36"/>
        <v/>
      </c>
      <c r="B312" s="37"/>
      <c r="C312" s="28"/>
      <c r="D312" s="35"/>
      <c r="E312" s="38"/>
      <c r="F312" s="38"/>
      <c r="G312" s="52" t="str">
        <f t="shared" si="37"/>
        <v/>
      </c>
      <c r="H312" s="53" t="str">
        <f t="shared" si="38"/>
        <v/>
      </c>
      <c r="I312" s="40"/>
      <c r="J312" s="54" t="str">
        <f t="shared" si="39"/>
        <v/>
      </c>
      <c r="K312" s="41" t="str">
        <f t="shared" si="40"/>
        <v/>
      </c>
      <c r="L312" s="55"/>
      <c r="M312" s="56">
        <f t="shared" si="41"/>
        <v>0</v>
      </c>
      <c r="N312" s="56">
        <f t="shared" si="42"/>
        <v>0</v>
      </c>
      <c r="O312" s="57"/>
      <c r="P312" s="40"/>
      <c r="Q312" s="52" t="str">
        <f>IF($D312="","",IF($K312&lt;&gt;"Balance Sheet / Clearing","-",IF(SUMPRODUCT(--(LEFT('7. Settlements'!$J$8:$J$107,7)=$A312),--('7. Settlements'!$M$8:$M$107="Tied out"))+SUMPRODUCT(--(LEFT('8. Transfers'!$H$9:$H$108,7)=$A312),--('8. Transfers'!$J$9:$J$108="Matched"))+SUMPRODUCT(--(LEFT('8. Transfers'!$I$9:$I$108,7)=$A312),--('8. Transfers'!$J$9:$J$108="Matched"))+IF($O312="",0,COUNTIFS('9. Payroll Allocation'!$B$234:$B$253,$O312,'9. Payroll Allocation'!$H$234:$H$253,"Tied out"))&gt;0,"Linked","MISSING DETAIL")))</f>
        <v/>
      </c>
      <c r="T312" s="58" t="str">
        <f t="shared" si="43"/>
        <v/>
      </c>
      <c r="U312" s="59" t="str">
        <f>IF($T312="","",COUNTIF($T$6:$T312,"?*"))</f>
        <v/>
      </c>
      <c r="V312" s="58" t="str">
        <f t="shared" si="44"/>
        <v/>
      </c>
    </row>
    <row r="313" spans="1:22" ht="12.95" customHeight="1" x14ac:dyDescent="0.25">
      <c r="A313" s="60" t="str">
        <f t="shared" si="36"/>
        <v/>
      </c>
      <c r="B313" s="37"/>
      <c r="C313" s="28"/>
      <c r="D313" s="35"/>
      <c r="E313" s="38"/>
      <c r="F313" s="38"/>
      <c r="G313" s="60" t="str">
        <f t="shared" si="37"/>
        <v/>
      </c>
      <c r="H313" s="61" t="str">
        <f t="shared" si="38"/>
        <v/>
      </c>
      <c r="I313" s="40"/>
      <c r="J313" s="62" t="str">
        <f t="shared" si="39"/>
        <v/>
      </c>
      <c r="K313" s="45" t="str">
        <f t="shared" si="40"/>
        <v/>
      </c>
      <c r="L313" s="55"/>
      <c r="M313" s="63">
        <f t="shared" si="41"/>
        <v>0</v>
      </c>
      <c r="N313" s="63">
        <f t="shared" si="42"/>
        <v>0</v>
      </c>
      <c r="O313" s="57"/>
      <c r="P313" s="40"/>
      <c r="Q313" s="60" t="str">
        <f>IF($D313="","",IF($K313&lt;&gt;"Balance Sheet / Clearing","-",IF(SUMPRODUCT(--(LEFT('7. Settlements'!$J$8:$J$107,7)=$A313),--('7. Settlements'!$M$8:$M$107="Tied out"))+SUMPRODUCT(--(LEFT('8. Transfers'!$H$9:$H$108,7)=$A313),--('8. Transfers'!$J$9:$J$108="Matched"))+SUMPRODUCT(--(LEFT('8. Transfers'!$I$9:$I$108,7)=$A313),--('8. Transfers'!$J$9:$J$108="Matched"))+IF($O313="",0,COUNTIFS('9. Payroll Allocation'!$B$234:$B$253,$O313,'9. Payroll Allocation'!$H$234:$H$253,"Tied out"))&gt;0,"Linked","MISSING DETAIL")))</f>
        <v/>
      </c>
      <c r="T313" s="58" t="str">
        <f t="shared" si="43"/>
        <v/>
      </c>
      <c r="U313" s="59" t="str">
        <f>IF($T313="","",COUNTIF($T$6:$T313,"?*"))</f>
        <v/>
      </c>
      <c r="V313" s="58" t="str">
        <f t="shared" si="44"/>
        <v/>
      </c>
    </row>
    <row r="314" spans="1:22" ht="12.95" customHeight="1" x14ac:dyDescent="0.25">
      <c r="A314" s="52" t="str">
        <f t="shared" si="36"/>
        <v/>
      </c>
      <c r="B314" s="37"/>
      <c r="C314" s="28"/>
      <c r="D314" s="35"/>
      <c r="E314" s="38"/>
      <c r="F314" s="38"/>
      <c r="G314" s="52" t="str">
        <f t="shared" si="37"/>
        <v/>
      </c>
      <c r="H314" s="53" t="str">
        <f t="shared" si="38"/>
        <v/>
      </c>
      <c r="I314" s="40"/>
      <c r="J314" s="54" t="str">
        <f t="shared" si="39"/>
        <v/>
      </c>
      <c r="K314" s="41" t="str">
        <f t="shared" si="40"/>
        <v/>
      </c>
      <c r="L314" s="55"/>
      <c r="M314" s="56">
        <f t="shared" si="41"/>
        <v>0</v>
      </c>
      <c r="N314" s="56">
        <f t="shared" si="42"/>
        <v>0</v>
      </c>
      <c r="O314" s="57"/>
      <c r="P314" s="40"/>
      <c r="Q314" s="52" t="str">
        <f>IF($D314="","",IF($K314&lt;&gt;"Balance Sheet / Clearing","-",IF(SUMPRODUCT(--(LEFT('7. Settlements'!$J$8:$J$107,7)=$A314),--('7. Settlements'!$M$8:$M$107="Tied out"))+SUMPRODUCT(--(LEFT('8. Transfers'!$H$9:$H$108,7)=$A314),--('8. Transfers'!$J$9:$J$108="Matched"))+SUMPRODUCT(--(LEFT('8. Transfers'!$I$9:$I$108,7)=$A314),--('8. Transfers'!$J$9:$J$108="Matched"))+IF($O314="",0,COUNTIFS('9. Payroll Allocation'!$B$234:$B$253,$O314,'9. Payroll Allocation'!$H$234:$H$253,"Tied out"))&gt;0,"Linked","MISSING DETAIL")))</f>
        <v/>
      </c>
      <c r="T314" s="58" t="str">
        <f t="shared" si="43"/>
        <v/>
      </c>
      <c r="U314" s="59" t="str">
        <f>IF($T314="","",COUNTIF($T$6:$T314,"?*"))</f>
        <v/>
      </c>
      <c r="V314" s="58" t="str">
        <f t="shared" si="44"/>
        <v/>
      </c>
    </row>
    <row r="315" spans="1:22" ht="12.95" customHeight="1" x14ac:dyDescent="0.25">
      <c r="A315" s="60" t="str">
        <f t="shared" si="36"/>
        <v/>
      </c>
      <c r="B315" s="37"/>
      <c r="C315" s="28"/>
      <c r="D315" s="35"/>
      <c r="E315" s="38"/>
      <c r="F315" s="38"/>
      <c r="G315" s="60" t="str">
        <f t="shared" si="37"/>
        <v/>
      </c>
      <c r="H315" s="61" t="str">
        <f t="shared" si="38"/>
        <v/>
      </c>
      <c r="I315" s="40"/>
      <c r="J315" s="62" t="str">
        <f t="shared" si="39"/>
        <v/>
      </c>
      <c r="K315" s="45" t="str">
        <f t="shared" si="40"/>
        <v/>
      </c>
      <c r="L315" s="55"/>
      <c r="M315" s="63">
        <f t="shared" si="41"/>
        <v>0</v>
      </c>
      <c r="N315" s="63">
        <f t="shared" si="42"/>
        <v>0</v>
      </c>
      <c r="O315" s="57"/>
      <c r="P315" s="40"/>
      <c r="Q315" s="60" t="str">
        <f>IF($D315="","",IF($K315&lt;&gt;"Balance Sheet / Clearing","-",IF(SUMPRODUCT(--(LEFT('7. Settlements'!$J$8:$J$107,7)=$A315),--('7. Settlements'!$M$8:$M$107="Tied out"))+SUMPRODUCT(--(LEFT('8. Transfers'!$H$9:$H$108,7)=$A315),--('8. Transfers'!$J$9:$J$108="Matched"))+SUMPRODUCT(--(LEFT('8. Transfers'!$I$9:$I$108,7)=$A315),--('8. Transfers'!$J$9:$J$108="Matched"))+IF($O315="",0,COUNTIFS('9. Payroll Allocation'!$B$234:$B$253,$O315,'9. Payroll Allocation'!$H$234:$H$253,"Tied out"))&gt;0,"Linked","MISSING DETAIL")))</f>
        <v/>
      </c>
      <c r="T315" s="58" t="str">
        <f t="shared" si="43"/>
        <v/>
      </c>
      <c r="U315" s="59" t="str">
        <f>IF($T315="","",COUNTIF($T$6:$T315,"?*"))</f>
        <v/>
      </c>
      <c r="V315" s="58" t="str">
        <f t="shared" si="44"/>
        <v/>
      </c>
    </row>
    <row r="316" spans="1:22" ht="12.95" customHeight="1" x14ac:dyDescent="0.25">
      <c r="A316" s="52" t="str">
        <f t="shared" si="36"/>
        <v/>
      </c>
      <c r="B316" s="37"/>
      <c r="C316" s="28"/>
      <c r="D316" s="35"/>
      <c r="E316" s="38"/>
      <c r="F316" s="38"/>
      <c r="G316" s="52" t="str">
        <f t="shared" si="37"/>
        <v/>
      </c>
      <c r="H316" s="53" t="str">
        <f t="shared" si="38"/>
        <v/>
      </c>
      <c r="I316" s="40"/>
      <c r="J316" s="54" t="str">
        <f t="shared" si="39"/>
        <v/>
      </c>
      <c r="K316" s="41" t="str">
        <f t="shared" si="40"/>
        <v/>
      </c>
      <c r="L316" s="55"/>
      <c r="M316" s="56">
        <f t="shared" si="41"/>
        <v>0</v>
      </c>
      <c r="N316" s="56">
        <f t="shared" si="42"/>
        <v>0</v>
      </c>
      <c r="O316" s="57"/>
      <c r="P316" s="40"/>
      <c r="Q316" s="52" t="str">
        <f>IF($D316="","",IF($K316&lt;&gt;"Balance Sheet / Clearing","-",IF(SUMPRODUCT(--(LEFT('7. Settlements'!$J$8:$J$107,7)=$A316),--('7. Settlements'!$M$8:$M$107="Tied out"))+SUMPRODUCT(--(LEFT('8. Transfers'!$H$9:$H$108,7)=$A316),--('8. Transfers'!$J$9:$J$108="Matched"))+SUMPRODUCT(--(LEFT('8. Transfers'!$I$9:$I$108,7)=$A316),--('8. Transfers'!$J$9:$J$108="Matched"))+IF($O316="",0,COUNTIFS('9. Payroll Allocation'!$B$234:$B$253,$O316,'9. Payroll Allocation'!$H$234:$H$253,"Tied out"))&gt;0,"Linked","MISSING DETAIL")))</f>
        <v/>
      </c>
      <c r="T316" s="58" t="str">
        <f t="shared" si="43"/>
        <v/>
      </c>
      <c r="U316" s="59" t="str">
        <f>IF($T316="","",COUNTIF($T$6:$T316,"?*"))</f>
        <v/>
      </c>
      <c r="V316" s="58" t="str">
        <f t="shared" si="44"/>
        <v/>
      </c>
    </row>
    <row r="317" spans="1:22" ht="12.95" customHeight="1" x14ac:dyDescent="0.25">
      <c r="A317" s="60" t="str">
        <f t="shared" si="36"/>
        <v/>
      </c>
      <c r="B317" s="37"/>
      <c r="C317" s="28"/>
      <c r="D317" s="35"/>
      <c r="E317" s="38"/>
      <c r="F317" s="38"/>
      <c r="G317" s="60" t="str">
        <f t="shared" si="37"/>
        <v/>
      </c>
      <c r="H317" s="61" t="str">
        <f t="shared" si="38"/>
        <v/>
      </c>
      <c r="I317" s="40"/>
      <c r="J317" s="62" t="str">
        <f t="shared" si="39"/>
        <v/>
      </c>
      <c r="K317" s="45" t="str">
        <f t="shared" si="40"/>
        <v/>
      </c>
      <c r="L317" s="55"/>
      <c r="M317" s="63">
        <f t="shared" si="41"/>
        <v>0</v>
      </c>
      <c r="N317" s="63">
        <f t="shared" si="42"/>
        <v>0</v>
      </c>
      <c r="O317" s="57"/>
      <c r="P317" s="40"/>
      <c r="Q317" s="60" t="str">
        <f>IF($D317="","",IF($K317&lt;&gt;"Balance Sheet / Clearing","-",IF(SUMPRODUCT(--(LEFT('7. Settlements'!$J$8:$J$107,7)=$A317),--('7. Settlements'!$M$8:$M$107="Tied out"))+SUMPRODUCT(--(LEFT('8. Transfers'!$H$9:$H$108,7)=$A317),--('8. Transfers'!$J$9:$J$108="Matched"))+SUMPRODUCT(--(LEFT('8. Transfers'!$I$9:$I$108,7)=$A317),--('8. Transfers'!$J$9:$J$108="Matched"))+IF($O317="",0,COUNTIFS('9. Payroll Allocation'!$B$234:$B$253,$O317,'9. Payroll Allocation'!$H$234:$H$253,"Tied out"))&gt;0,"Linked","MISSING DETAIL")))</f>
        <v/>
      </c>
      <c r="T317" s="58" t="str">
        <f t="shared" si="43"/>
        <v/>
      </c>
      <c r="U317" s="59" t="str">
        <f>IF($T317="","",COUNTIF($T$6:$T317,"?*"))</f>
        <v/>
      </c>
      <c r="V317" s="58" t="str">
        <f t="shared" si="44"/>
        <v/>
      </c>
    </row>
    <row r="318" spans="1:22" ht="12.95" customHeight="1" x14ac:dyDescent="0.25">
      <c r="A318" s="52" t="str">
        <f t="shared" si="36"/>
        <v/>
      </c>
      <c r="B318" s="37"/>
      <c r="C318" s="28"/>
      <c r="D318" s="35"/>
      <c r="E318" s="38"/>
      <c r="F318" s="38"/>
      <c r="G318" s="52" t="str">
        <f t="shared" si="37"/>
        <v/>
      </c>
      <c r="H318" s="53" t="str">
        <f t="shared" si="38"/>
        <v/>
      </c>
      <c r="I318" s="40"/>
      <c r="J318" s="54" t="str">
        <f t="shared" si="39"/>
        <v/>
      </c>
      <c r="K318" s="41" t="str">
        <f t="shared" si="40"/>
        <v/>
      </c>
      <c r="L318" s="55"/>
      <c r="M318" s="56">
        <f t="shared" si="41"/>
        <v>0</v>
      </c>
      <c r="N318" s="56">
        <f t="shared" si="42"/>
        <v>0</v>
      </c>
      <c r="O318" s="57"/>
      <c r="P318" s="40"/>
      <c r="Q318" s="52" t="str">
        <f>IF($D318="","",IF($K318&lt;&gt;"Balance Sheet / Clearing","-",IF(SUMPRODUCT(--(LEFT('7. Settlements'!$J$8:$J$107,7)=$A318),--('7. Settlements'!$M$8:$M$107="Tied out"))+SUMPRODUCT(--(LEFT('8. Transfers'!$H$9:$H$108,7)=$A318),--('8. Transfers'!$J$9:$J$108="Matched"))+SUMPRODUCT(--(LEFT('8. Transfers'!$I$9:$I$108,7)=$A318),--('8. Transfers'!$J$9:$J$108="Matched"))+IF($O318="",0,COUNTIFS('9. Payroll Allocation'!$B$234:$B$253,$O318,'9. Payroll Allocation'!$H$234:$H$253,"Tied out"))&gt;0,"Linked","MISSING DETAIL")))</f>
        <v/>
      </c>
      <c r="T318" s="58" t="str">
        <f t="shared" si="43"/>
        <v/>
      </c>
      <c r="U318" s="59" t="str">
        <f>IF($T318="","",COUNTIF($T$6:$T318,"?*"))</f>
        <v/>
      </c>
      <c r="V318" s="58" t="str">
        <f t="shared" si="44"/>
        <v/>
      </c>
    </row>
    <row r="319" spans="1:22" ht="12.95" customHeight="1" x14ac:dyDescent="0.25">
      <c r="A319" s="60" t="str">
        <f t="shared" si="36"/>
        <v/>
      </c>
      <c r="B319" s="37"/>
      <c r="C319" s="28"/>
      <c r="D319" s="35"/>
      <c r="E319" s="38"/>
      <c r="F319" s="38"/>
      <c r="G319" s="60" t="str">
        <f t="shared" si="37"/>
        <v/>
      </c>
      <c r="H319" s="61" t="str">
        <f t="shared" si="38"/>
        <v/>
      </c>
      <c r="I319" s="40"/>
      <c r="J319" s="62" t="str">
        <f t="shared" si="39"/>
        <v/>
      </c>
      <c r="K319" s="45" t="str">
        <f t="shared" si="40"/>
        <v/>
      </c>
      <c r="L319" s="55"/>
      <c r="M319" s="63">
        <f t="shared" si="41"/>
        <v>0</v>
      </c>
      <c r="N319" s="63">
        <f t="shared" si="42"/>
        <v>0</v>
      </c>
      <c r="O319" s="57"/>
      <c r="P319" s="40"/>
      <c r="Q319" s="60" t="str">
        <f>IF($D319="","",IF($K319&lt;&gt;"Balance Sheet / Clearing","-",IF(SUMPRODUCT(--(LEFT('7. Settlements'!$J$8:$J$107,7)=$A319),--('7. Settlements'!$M$8:$M$107="Tied out"))+SUMPRODUCT(--(LEFT('8. Transfers'!$H$9:$H$108,7)=$A319),--('8. Transfers'!$J$9:$J$108="Matched"))+SUMPRODUCT(--(LEFT('8. Transfers'!$I$9:$I$108,7)=$A319),--('8. Transfers'!$J$9:$J$108="Matched"))+IF($O319="",0,COUNTIFS('9. Payroll Allocation'!$B$234:$B$253,$O319,'9. Payroll Allocation'!$H$234:$H$253,"Tied out"))&gt;0,"Linked","MISSING DETAIL")))</f>
        <v/>
      </c>
      <c r="T319" s="58" t="str">
        <f t="shared" si="43"/>
        <v/>
      </c>
      <c r="U319" s="59" t="str">
        <f>IF($T319="","",COUNTIF($T$6:$T319,"?*"))</f>
        <v/>
      </c>
      <c r="V319" s="58" t="str">
        <f t="shared" si="44"/>
        <v/>
      </c>
    </row>
    <row r="320" spans="1:22" ht="12.95" customHeight="1" x14ac:dyDescent="0.25">
      <c r="A320" s="52" t="str">
        <f t="shared" si="36"/>
        <v/>
      </c>
      <c r="B320" s="37"/>
      <c r="C320" s="28"/>
      <c r="D320" s="35"/>
      <c r="E320" s="38"/>
      <c r="F320" s="38"/>
      <c r="G320" s="52" t="str">
        <f t="shared" si="37"/>
        <v/>
      </c>
      <c r="H320" s="53" t="str">
        <f t="shared" si="38"/>
        <v/>
      </c>
      <c r="I320" s="40"/>
      <c r="J320" s="54" t="str">
        <f t="shared" si="39"/>
        <v/>
      </c>
      <c r="K320" s="41" t="str">
        <f t="shared" si="40"/>
        <v/>
      </c>
      <c r="L320" s="55"/>
      <c r="M320" s="56">
        <f t="shared" si="41"/>
        <v>0</v>
      </c>
      <c r="N320" s="56">
        <f t="shared" si="42"/>
        <v>0</v>
      </c>
      <c r="O320" s="57"/>
      <c r="P320" s="40"/>
      <c r="Q320" s="52" t="str">
        <f>IF($D320="","",IF($K320&lt;&gt;"Balance Sheet / Clearing","-",IF(SUMPRODUCT(--(LEFT('7. Settlements'!$J$8:$J$107,7)=$A320),--('7. Settlements'!$M$8:$M$107="Tied out"))+SUMPRODUCT(--(LEFT('8. Transfers'!$H$9:$H$108,7)=$A320),--('8. Transfers'!$J$9:$J$108="Matched"))+SUMPRODUCT(--(LEFT('8. Transfers'!$I$9:$I$108,7)=$A320),--('8. Transfers'!$J$9:$J$108="Matched"))+IF($O320="",0,COUNTIFS('9. Payroll Allocation'!$B$234:$B$253,$O320,'9. Payroll Allocation'!$H$234:$H$253,"Tied out"))&gt;0,"Linked","MISSING DETAIL")))</f>
        <v/>
      </c>
      <c r="T320" s="58" t="str">
        <f t="shared" si="43"/>
        <v/>
      </c>
      <c r="U320" s="59" t="str">
        <f>IF($T320="","",COUNTIF($T$6:$T320,"?*"))</f>
        <v/>
      </c>
      <c r="V320" s="58" t="str">
        <f t="shared" si="44"/>
        <v/>
      </c>
    </row>
    <row r="321" spans="1:22" ht="12.95" customHeight="1" x14ac:dyDescent="0.25">
      <c r="A321" s="60" t="str">
        <f t="shared" si="36"/>
        <v/>
      </c>
      <c r="B321" s="37"/>
      <c r="C321" s="28"/>
      <c r="D321" s="35"/>
      <c r="E321" s="38"/>
      <c r="F321" s="38"/>
      <c r="G321" s="60" t="str">
        <f t="shared" si="37"/>
        <v/>
      </c>
      <c r="H321" s="61" t="str">
        <f t="shared" si="38"/>
        <v/>
      </c>
      <c r="I321" s="40"/>
      <c r="J321" s="62" t="str">
        <f t="shared" si="39"/>
        <v/>
      </c>
      <c r="K321" s="45" t="str">
        <f t="shared" si="40"/>
        <v/>
      </c>
      <c r="L321" s="55"/>
      <c r="M321" s="63">
        <f t="shared" si="41"/>
        <v>0</v>
      </c>
      <c r="N321" s="63">
        <f t="shared" si="42"/>
        <v>0</v>
      </c>
      <c r="O321" s="57"/>
      <c r="P321" s="40"/>
      <c r="Q321" s="60" t="str">
        <f>IF($D321="","",IF($K321&lt;&gt;"Balance Sheet / Clearing","-",IF(SUMPRODUCT(--(LEFT('7. Settlements'!$J$8:$J$107,7)=$A321),--('7. Settlements'!$M$8:$M$107="Tied out"))+SUMPRODUCT(--(LEFT('8. Transfers'!$H$9:$H$108,7)=$A321),--('8. Transfers'!$J$9:$J$108="Matched"))+SUMPRODUCT(--(LEFT('8. Transfers'!$I$9:$I$108,7)=$A321),--('8. Transfers'!$J$9:$J$108="Matched"))+IF($O321="",0,COUNTIFS('9. Payroll Allocation'!$B$234:$B$253,$O321,'9. Payroll Allocation'!$H$234:$H$253,"Tied out"))&gt;0,"Linked","MISSING DETAIL")))</f>
        <v/>
      </c>
      <c r="T321" s="58" t="str">
        <f t="shared" si="43"/>
        <v/>
      </c>
      <c r="U321" s="59" t="str">
        <f>IF($T321="","",COUNTIF($T$6:$T321,"?*"))</f>
        <v/>
      </c>
      <c r="V321" s="58" t="str">
        <f t="shared" si="44"/>
        <v/>
      </c>
    </row>
    <row r="322" spans="1:22" ht="12.95" customHeight="1" x14ac:dyDescent="0.25">
      <c r="A322" s="52" t="str">
        <f t="shared" si="36"/>
        <v/>
      </c>
      <c r="B322" s="37"/>
      <c r="C322" s="28"/>
      <c r="D322" s="35"/>
      <c r="E322" s="38"/>
      <c r="F322" s="38"/>
      <c r="G322" s="52" t="str">
        <f t="shared" si="37"/>
        <v/>
      </c>
      <c r="H322" s="53" t="str">
        <f t="shared" si="38"/>
        <v/>
      </c>
      <c r="I322" s="40"/>
      <c r="J322" s="54" t="str">
        <f t="shared" si="39"/>
        <v/>
      </c>
      <c r="K322" s="41" t="str">
        <f t="shared" si="40"/>
        <v/>
      </c>
      <c r="L322" s="55"/>
      <c r="M322" s="56">
        <f t="shared" si="41"/>
        <v>0</v>
      </c>
      <c r="N322" s="56">
        <f t="shared" si="42"/>
        <v>0</v>
      </c>
      <c r="O322" s="57"/>
      <c r="P322" s="40"/>
      <c r="Q322" s="52" t="str">
        <f>IF($D322="","",IF($K322&lt;&gt;"Balance Sheet / Clearing","-",IF(SUMPRODUCT(--(LEFT('7. Settlements'!$J$8:$J$107,7)=$A322),--('7. Settlements'!$M$8:$M$107="Tied out"))+SUMPRODUCT(--(LEFT('8. Transfers'!$H$9:$H$108,7)=$A322),--('8. Transfers'!$J$9:$J$108="Matched"))+SUMPRODUCT(--(LEFT('8. Transfers'!$I$9:$I$108,7)=$A322),--('8. Transfers'!$J$9:$J$108="Matched"))+IF($O322="",0,COUNTIFS('9. Payroll Allocation'!$B$234:$B$253,$O322,'9. Payroll Allocation'!$H$234:$H$253,"Tied out"))&gt;0,"Linked","MISSING DETAIL")))</f>
        <v/>
      </c>
      <c r="T322" s="58" t="str">
        <f t="shared" si="43"/>
        <v/>
      </c>
      <c r="U322" s="59" t="str">
        <f>IF($T322="","",COUNTIF($T$6:$T322,"?*"))</f>
        <v/>
      </c>
      <c r="V322" s="58" t="str">
        <f t="shared" si="44"/>
        <v/>
      </c>
    </row>
    <row r="323" spans="1:22" ht="12.95" customHeight="1" x14ac:dyDescent="0.25">
      <c r="A323" s="60" t="str">
        <f t="shared" si="36"/>
        <v/>
      </c>
      <c r="B323" s="37"/>
      <c r="C323" s="28"/>
      <c r="D323" s="35"/>
      <c r="E323" s="38"/>
      <c r="F323" s="38"/>
      <c r="G323" s="60" t="str">
        <f t="shared" si="37"/>
        <v/>
      </c>
      <c r="H323" s="61" t="str">
        <f t="shared" si="38"/>
        <v/>
      </c>
      <c r="I323" s="40"/>
      <c r="J323" s="62" t="str">
        <f t="shared" si="39"/>
        <v/>
      </c>
      <c r="K323" s="45" t="str">
        <f t="shared" si="40"/>
        <v/>
      </c>
      <c r="L323" s="55"/>
      <c r="M323" s="63">
        <f t="shared" si="41"/>
        <v>0</v>
      </c>
      <c r="N323" s="63">
        <f t="shared" si="42"/>
        <v>0</v>
      </c>
      <c r="O323" s="57"/>
      <c r="P323" s="40"/>
      <c r="Q323" s="60" t="str">
        <f>IF($D323="","",IF($K323&lt;&gt;"Balance Sheet / Clearing","-",IF(SUMPRODUCT(--(LEFT('7. Settlements'!$J$8:$J$107,7)=$A323),--('7. Settlements'!$M$8:$M$107="Tied out"))+SUMPRODUCT(--(LEFT('8. Transfers'!$H$9:$H$108,7)=$A323),--('8. Transfers'!$J$9:$J$108="Matched"))+SUMPRODUCT(--(LEFT('8. Transfers'!$I$9:$I$108,7)=$A323),--('8. Transfers'!$J$9:$J$108="Matched"))+IF($O323="",0,COUNTIFS('9. Payroll Allocation'!$B$234:$B$253,$O323,'9. Payroll Allocation'!$H$234:$H$253,"Tied out"))&gt;0,"Linked","MISSING DETAIL")))</f>
        <v/>
      </c>
      <c r="T323" s="58" t="str">
        <f t="shared" si="43"/>
        <v/>
      </c>
      <c r="U323" s="59" t="str">
        <f>IF($T323="","",COUNTIF($T$6:$T323,"?*"))</f>
        <v/>
      </c>
      <c r="V323" s="58" t="str">
        <f t="shared" si="44"/>
        <v/>
      </c>
    </row>
    <row r="324" spans="1:22" ht="12.95" customHeight="1" x14ac:dyDescent="0.25">
      <c r="A324" s="52" t="str">
        <f t="shared" si="36"/>
        <v/>
      </c>
      <c r="B324" s="37"/>
      <c r="C324" s="28"/>
      <c r="D324" s="35"/>
      <c r="E324" s="38"/>
      <c r="F324" s="38"/>
      <c r="G324" s="52" t="str">
        <f t="shared" si="37"/>
        <v/>
      </c>
      <c r="H324" s="53" t="str">
        <f t="shared" si="38"/>
        <v/>
      </c>
      <c r="I324" s="40"/>
      <c r="J324" s="54" t="str">
        <f t="shared" si="39"/>
        <v/>
      </c>
      <c r="K324" s="41" t="str">
        <f t="shared" si="40"/>
        <v/>
      </c>
      <c r="L324" s="55"/>
      <c r="M324" s="56">
        <f t="shared" si="41"/>
        <v>0</v>
      </c>
      <c r="N324" s="56">
        <f t="shared" si="42"/>
        <v>0</v>
      </c>
      <c r="O324" s="57"/>
      <c r="P324" s="40"/>
      <c r="Q324" s="52" t="str">
        <f>IF($D324="","",IF($K324&lt;&gt;"Balance Sheet / Clearing","-",IF(SUMPRODUCT(--(LEFT('7. Settlements'!$J$8:$J$107,7)=$A324),--('7. Settlements'!$M$8:$M$107="Tied out"))+SUMPRODUCT(--(LEFT('8. Transfers'!$H$9:$H$108,7)=$A324),--('8. Transfers'!$J$9:$J$108="Matched"))+SUMPRODUCT(--(LEFT('8. Transfers'!$I$9:$I$108,7)=$A324),--('8. Transfers'!$J$9:$J$108="Matched"))+IF($O324="",0,COUNTIFS('9. Payroll Allocation'!$B$234:$B$253,$O324,'9. Payroll Allocation'!$H$234:$H$253,"Tied out"))&gt;0,"Linked","MISSING DETAIL")))</f>
        <v/>
      </c>
      <c r="T324" s="58" t="str">
        <f t="shared" si="43"/>
        <v/>
      </c>
      <c r="U324" s="59" t="str">
        <f>IF($T324="","",COUNTIF($T$6:$T324,"?*"))</f>
        <v/>
      </c>
      <c r="V324" s="58" t="str">
        <f t="shared" si="44"/>
        <v/>
      </c>
    </row>
    <row r="325" spans="1:22" ht="12.95" customHeight="1" x14ac:dyDescent="0.25">
      <c r="A325" s="60" t="str">
        <f t="shared" si="36"/>
        <v/>
      </c>
      <c r="B325" s="37"/>
      <c r="C325" s="28"/>
      <c r="D325" s="35"/>
      <c r="E325" s="38"/>
      <c r="F325" s="38"/>
      <c r="G325" s="60" t="str">
        <f t="shared" si="37"/>
        <v/>
      </c>
      <c r="H325" s="61" t="str">
        <f t="shared" si="38"/>
        <v/>
      </c>
      <c r="I325" s="40"/>
      <c r="J325" s="62" t="str">
        <f t="shared" si="39"/>
        <v/>
      </c>
      <c r="K325" s="45" t="str">
        <f t="shared" si="40"/>
        <v/>
      </c>
      <c r="L325" s="55"/>
      <c r="M325" s="63">
        <f t="shared" si="41"/>
        <v>0</v>
      </c>
      <c r="N325" s="63">
        <f t="shared" si="42"/>
        <v>0</v>
      </c>
      <c r="O325" s="57"/>
      <c r="P325" s="40"/>
      <c r="Q325" s="60" t="str">
        <f>IF($D325="","",IF($K325&lt;&gt;"Balance Sheet / Clearing","-",IF(SUMPRODUCT(--(LEFT('7. Settlements'!$J$8:$J$107,7)=$A325),--('7. Settlements'!$M$8:$M$107="Tied out"))+SUMPRODUCT(--(LEFT('8. Transfers'!$H$9:$H$108,7)=$A325),--('8. Transfers'!$J$9:$J$108="Matched"))+SUMPRODUCT(--(LEFT('8. Transfers'!$I$9:$I$108,7)=$A325),--('8. Transfers'!$J$9:$J$108="Matched"))+IF($O325="",0,COUNTIFS('9. Payroll Allocation'!$B$234:$B$253,$O325,'9. Payroll Allocation'!$H$234:$H$253,"Tied out"))&gt;0,"Linked","MISSING DETAIL")))</f>
        <v/>
      </c>
      <c r="T325" s="58" t="str">
        <f t="shared" si="43"/>
        <v/>
      </c>
      <c r="U325" s="59" t="str">
        <f>IF($T325="","",COUNTIF($T$6:$T325,"?*"))</f>
        <v/>
      </c>
      <c r="V325" s="58" t="str">
        <f t="shared" si="44"/>
        <v/>
      </c>
    </row>
    <row r="326" spans="1:22" ht="12.95" customHeight="1" x14ac:dyDescent="0.25">
      <c r="A326" s="52" t="str">
        <f t="shared" ref="A326:A389" si="45">IF($D326="","","TX-"&amp;TEXT(ROW()-5,"0000"))</f>
        <v/>
      </c>
      <c r="B326" s="37"/>
      <c r="C326" s="28"/>
      <c r="D326" s="35"/>
      <c r="E326" s="38"/>
      <c r="F326" s="38"/>
      <c r="G326" s="52" t="str">
        <f t="shared" ref="G326:G389" si="46">IF($D326="","",IFERROR(_xlfn.AGGREGATE(15,6,Rules_Pri/((ISNUMBER(SEARCH(Rules_Key,$D326)))*(Rules_Key&lt;&gt;"")*(Rules_Active="Yes")*((Rules_Dir="Any")+(Rules_Dir=IF(N($E326)&gt;0,"In","Out")))),1),""))</f>
        <v/>
      </c>
      <c r="H326" s="53" t="str">
        <f t="shared" ref="H326:H389" si="47">IF($D326="","",IF($G326="",IF(N($E326)&gt;0,"Uncategorized Deposit - NEEDS REVIEW","Uncategorized - NEEDS REVIEW"),INDEX(Rules_Cat,MATCH(1,INDEX(((ISNUMBER(SEARCH(Rules_Key,$D326)))*(Rules_Key&lt;&gt;"")*(Rules_Active="Yes")*((Rules_Dir="Any")+(Rules_Dir=IF(N($E326)&gt;0,"In","Out"))))*(Rules_Pri=$G326),0),0))))</f>
        <v/>
      </c>
      <c r="I326" s="40"/>
      <c r="J326" s="54" t="str">
        <f t="shared" ref="J326:J389" si="48">IF($D326="","",IF($I326&lt;&gt;"",$I326,$H326))</f>
        <v/>
      </c>
      <c r="K326" s="41" t="str">
        <f t="shared" ref="K326:K389" si="49">IF($J326="","",IFERROR(INDEX(Cat_Treatment,MATCH($J326,Cat_Name,0)),"Review Required"))</f>
        <v/>
      </c>
      <c r="L326" s="55"/>
      <c r="M326" s="56">
        <f t="shared" ref="M326:M389" si="50">IF($K326&lt;&gt;"Operating Expense",0,IF(AND($L326&lt;&gt;"",OR(N($L326)&lt;0,N($L326)&gt;1)),0,ROUND(N($F326)*IF($L326="",1,$L326),2)))</f>
        <v>0</v>
      </c>
      <c r="N326" s="56">
        <f t="shared" ref="N326:N389" si="51">IF($K326="Operating Revenue",ROUND(N($E326)-N($F326),2),0)</f>
        <v>0</v>
      </c>
      <c r="O326" s="57"/>
      <c r="P326" s="40"/>
      <c r="Q326" s="52" t="str">
        <f>IF($D326="","",IF($K326&lt;&gt;"Balance Sheet / Clearing","-",IF(SUMPRODUCT(--(LEFT('7. Settlements'!$J$8:$J$107,7)=$A326),--('7. Settlements'!$M$8:$M$107="Tied out"))+SUMPRODUCT(--(LEFT('8. Transfers'!$H$9:$H$108,7)=$A326),--('8. Transfers'!$J$9:$J$108="Matched"))+SUMPRODUCT(--(LEFT('8. Transfers'!$I$9:$I$108,7)=$A326),--('8. Transfers'!$J$9:$J$108="Matched"))+IF($O326="",0,COUNTIFS('9. Payroll Allocation'!$B$234:$B$253,$O326,'9. Payroll Allocation'!$H$234:$H$253,"Tied out"))&gt;0,"Linked","MISSING DETAIL")))</f>
        <v/>
      </c>
      <c r="T326" s="58" t="str">
        <f t="shared" ref="T326:T389" si="52">IF(OR($D326="",$K326&lt;&gt;"Balance Sheet / Clearing"),"",$A326&amp;" · "&amp;TEXT($B326,"mm/dd")&amp;" · "&amp;LEFT($D326,24)&amp;" · "&amp;TEXT(N($E326)+N($F326),"#,##0.00"))</f>
        <v/>
      </c>
      <c r="U326" s="59" t="str">
        <f>IF($T326="","",COUNTIF($T$6:$T326,"?*"))</f>
        <v/>
      </c>
      <c r="V326" s="58" t="str">
        <f t="shared" ref="V326:V389" si="53">IFERROR(INDEX($T$6:$T$1005,MATCH(ROW()-5,$U$6:$U$1005,0)),"")</f>
        <v/>
      </c>
    </row>
    <row r="327" spans="1:22" ht="12.95" customHeight="1" x14ac:dyDescent="0.25">
      <c r="A327" s="60" t="str">
        <f t="shared" si="45"/>
        <v/>
      </c>
      <c r="B327" s="37"/>
      <c r="C327" s="28"/>
      <c r="D327" s="35"/>
      <c r="E327" s="38"/>
      <c r="F327" s="38"/>
      <c r="G327" s="60" t="str">
        <f t="shared" si="46"/>
        <v/>
      </c>
      <c r="H327" s="61" t="str">
        <f t="shared" si="47"/>
        <v/>
      </c>
      <c r="I327" s="40"/>
      <c r="J327" s="62" t="str">
        <f t="shared" si="48"/>
        <v/>
      </c>
      <c r="K327" s="45" t="str">
        <f t="shared" si="49"/>
        <v/>
      </c>
      <c r="L327" s="55"/>
      <c r="M327" s="63">
        <f t="shared" si="50"/>
        <v>0</v>
      </c>
      <c r="N327" s="63">
        <f t="shared" si="51"/>
        <v>0</v>
      </c>
      <c r="O327" s="57"/>
      <c r="P327" s="40"/>
      <c r="Q327" s="60" t="str">
        <f>IF($D327="","",IF($K327&lt;&gt;"Balance Sheet / Clearing","-",IF(SUMPRODUCT(--(LEFT('7. Settlements'!$J$8:$J$107,7)=$A327),--('7. Settlements'!$M$8:$M$107="Tied out"))+SUMPRODUCT(--(LEFT('8. Transfers'!$H$9:$H$108,7)=$A327),--('8. Transfers'!$J$9:$J$108="Matched"))+SUMPRODUCT(--(LEFT('8. Transfers'!$I$9:$I$108,7)=$A327),--('8. Transfers'!$J$9:$J$108="Matched"))+IF($O327="",0,COUNTIFS('9. Payroll Allocation'!$B$234:$B$253,$O327,'9. Payroll Allocation'!$H$234:$H$253,"Tied out"))&gt;0,"Linked","MISSING DETAIL")))</f>
        <v/>
      </c>
      <c r="T327" s="58" t="str">
        <f t="shared" si="52"/>
        <v/>
      </c>
      <c r="U327" s="59" t="str">
        <f>IF($T327="","",COUNTIF($T$6:$T327,"?*"))</f>
        <v/>
      </c>
      <c r="V327" s="58" t="str">
        <f t="shared" si="53"/>
        <v/>
      </c>
    </row>
    <row r="328" spans="1:22" ht="12.95" customHeight="1" x14ac:dyDescent="0.25">
      <c r="A328" s="52" t="str">
        <f t="shared" si="45"/>
        <v/>
      </c>
      <c r="B328" s="37"/>
      <c r="C328" s="28"/>
      <c r="D328" s="35"/>
      <c r="E328" s="38"/>
      <c r="F328" s="38"/>
      <c r="G328" s="52" t="str">
        <f t="shared" si="46"/>
        <v/>
      </c>
      <c r="H328" s="53" t="str">
        <f t="shared" si="47"/>
        <v/>
      </c>
      <c r="I328" s="40"/>
      <c r="J328" s="54" t="str">
        <f t="shared" si="48"/>
        <v/>
      </c>
      <c r="K328" s="41" t="str">
        <f t="shared" si="49"/>
        <v/>
      </c>
      <c r="L328" s="55"/>
      <c r="M328" s="56">
        <f t="shared" si="50"/>
        <v>0</v>
      </c>
      <c r="N328" s="56">
        <f t="shared" si="51"/>
        <v>0</v>
      </c>
      <c r="O328" s="57"/>
      <c r="P328" s="40"/>
      <c r="Q328" s="52" t="str">
        <f>IF($D328="","",IF($K328&lt;&gt;"Balance Sheet / Clearing","-",IF(SUMPRODUCT(--(LEFT('7. Settlements'!$J$8:$J$107,7)=$A328),--('7. Settlements'!$M$8:$M$107="Tied out"))+SUMPRODUCT(--(LEFT('8. Transfers'!$H$9:$H$108,7)=$A328),--('8. Transfers'!$J$9:$J$108="Matched"))+SUMPRODUCT(--(LEFT('8. Transfers'!$I$9:$I$108,7)=$A328),--('8. Transfers'!$J$9:$J$108="Matched"))+IF($O328="",0,COUNTIFS('9. Payroll Allocation'!$B$234:$B$253,$O328,'9. Payroll Allocation'!$H$234:$H$253,"Tied out"))&gt;0,"Linked","MISSING DETAIL")))</f>
        <v/>
      </c>
      <c r="T328" s="58" t="str">
        <f t="shared" si="52"/>
        <v/>
      </c>
      <c r="U328" s="59" t="str">
        <f>IF($T328="","",COUNTIF($T$6:$T328,"?*"))</f>
        <v/>
      </c>
      <c r="V328" s="58" t="str">
        <f t="shared" si="53"/>
        <v/>
      </c>
    </row>
    <row r="329" spans="1:22" ht="12.95" customHeight="1" x14ac:dyDescent="0.25">
      <c r="A329" s="60" t="str">
        <f t="shared" si="45"/>
        <v/>
      </c>
      <c r="B329" s="37"/>
      <c r="C329" s="28"/>
      <c r="D329" s="35"/>
      <c r="E329" s="38"/>
      <c r="F329" s="38"/>
      <c r="G329" s="60" t="str">
        <f t="shared" si="46"/>
        <v/>
      </c>
      <c r="H329" s="61" t="str">
        <f t="shared" si="47"/>
        <v/>
      </c>
      <c r="I329" s="40"/>
      <c r="J329" s="62" t="str">
        <f t="shared" si="48"/>
        <v/>
      </c>
      <c r="K329" s="45" t="str">
        <f t="shared" si="49"/>
        <v/>
      </c>
      <c r="L329" s="55"/>
      <c r="M329" s="63">
        <f t="shared" si="50"/>
        <v>0</v>
      </c>
      <c r="N329" s="63">
        <f t="shared" si="51"/>
        <v>0</v>
      </c>
      <c r="O329" s="57"/>
      <c r="P329" s="40"/>
      <c r="Q329" s="60" t="str">
        <f>IF($D329="","",IF($K329&lt;&gt;"Balance Sheet / Clearing","-",IF(SUMPRODUCT(--(LEFT('7. Settlements'!$J$8:$J$107,7)=$A329),--('7. Settlements'!$M$8:$M$107="Tied out"))+SUMPRODUCT(--(LEFT('8. Transfers'!$H$9:$H$108,7)=$A329),--('8. Transfers'!$J$9:$J$108="Matched"))+SUMPRODUCT(--(LEFT('8. Transfers'!$I$9:$I$108,7)=$A329),--('8. Transfers'!$J$9:$J$108="Matched"))+IF($O329="",0,COUNTIFS('9. Payroll Allocation'!$B$234:$B$253,$O329,'9. Payroll Allocation'!$H$234:$H$253,"Tied out"))&gt;0,"Linked","MISSING DETAIL")))</f>
        <v/>
      </c>
      <c r="T329" s="58" t="str">
        <f t="shared" si="52"/>
        <v/>
      </c>
      <c r="U329" s="59" t="str">
        <f>IF($T329="","",COUNTIF($T$6:$T329,"?*"))</f>
        <v/>
      </c>
      <c r="V329" s="58" t="str">
        <f t="shared" si="53"/>
        <v/>
      </c>
    </row>
    <row r="330" spans="1:22" ht="12.95" customHeight="1" x14ac:dyDescent="0.25">
      <c r="A330" s="52" t="str">
        <f t="shared" si="45"/>
        <v/>
      </c>
      <c r="B330" s="37"/>
      <c r="C330" s="28"/>
      <c r="D330" s="35"/>
      <c r="E330" s="38"/>
      <c r="F330" s="38"/>
      <c r="G330" s="52" t="str">
        <f t="shared" si="46"/>
        <v/>
      </c>
      <c r="H330" s="53" t="str">
        <f t="shared" si="47"/>
        <v/>
      </c>
      <c r="I330" s="40"/>
      <c r="J330" s="54" t="str">
        <f t="shared" si="48"/>
        <v/>
      </c>
      <c r="K330" s="41" t="str">
        <f t="shared" si="49"/>
        <v/>
      </c>
      <c r="L330" s="55"/>
      <c r="M330" s="56">
        <f t="shared" si="50"/>
        <v>0</v>
      </c>
      <c r="N330" s="56">
        <f t="shared" si="51"/>
        <v>0</v>
      </c>
      <c r="O330" s="57"/>
      <c r="P330" s="40"/>
      <c r="Q330" s="52" t="str">
        <f>IF($D330="","",IF($K330&lt;&gt;"Balance Sheet / Clearing","-",IF(SUMPRODUCT(--(LEFT('7. Settlements'!$J$8:$J$107,7)=$A330),--('7. Settlements'!$M$8:$M$107="Tied out"))+SUMPRODUCT(--(LEFT('8. Transfers'!$H$9:$H$108,7)=$A330),--('8. Transfers'!$J$9:$J$108="Matched"))+SUMPRODUCT(--(LEFT('8. Transfers'!$I$9:$I$108,7)=$A330),--('8. Transfers'!$J$9:$J$108="Matched"))+IF($O330="",0,COUNTIFS('9. Payroll Allocation'!$B$234:$B$253,$O330,'9. Payroll Allocation'!$H$234:$H$253,"Tied out"))&gt;0,"Linked","MISSING DETAIL")))</f>
        <v/>
      </c>
      <c r="T330" s="58" t="str">
        <f t="shared" si="52"/>
        <v/>
      </c>
      <c r="U330" s="59" t="str">
        <f>IF($T330="","",COUNTIF($T$6:$T330,"?*"))</f>
        <v/>
      </c>
      <c r="V330" s="58" t="str">
        <f t="shared" si="53"/>
        <v/>
      </c>
    </row>
    <row r="331" spans="1:22" ht="12.95" customHeight="1" x14ac:dyDescent="0.25">
      <c r="A331" s="60" t="str">
        <f t="shared" si="45"/>
        <v/>
      </c>
      <c r="B331" s="37"/>
      <c r="C331" s="28"/>
      <c r="D331" s="35"/>
      <c r="E331" s="38"/>
      <c r="F331" s="38"/>
      <c r="G331" s="60" t="str">
        <f t="shared" si="46"/>
        <v/>
      </c>
      <c r="H331" s="61" t="str">
        <f t="shared" si="47"/>
        <v/>
      </c>
      <c r="I331" s="40"/>
      <c r="J331" s="62" t="str">
        <f t="shared" si="48"/>
        <v/>
      </c>
      <c r="K331" s="45" t="str">
        <f t="shared" si="49"/>
        <v/>
      </c>
      <c r="L331" s="55"/>
      <c r="M331" s="63">
        <f t="shared" si="50"/>
        <v>0</v>
      </c>
      <c r="N331" s="63">
        <f t="shared" si="51"/>
        <v>0</v>
      </c>
      <c r="O331" s="57"/>
      <c r="P331" s="40"/>
      <c r="Q331" s="60" t="str">
        <f>IF($D331="","",IF($K331&lt;&gt;"Balance Sheet / Clearing","-",IF(SUMPRODUCT(--(LEFT('7. Settlements'!$J$8:$J$107,7)=$A331),--('7. Settlements'!$M$8:$M$107="Tied out"))+SUMPRODUCT(--(LEFT('8. Transfers'!$H$9:$H$108,7)=$A331),--('8. Transfers'!$J$9:$J$108="Matched"))+SUMPRODUCT(--(LEFT('8. Transfers'!$I$9:$I$108,7)=$A331),--('8. Transfers'!$J$9:$J$108="Matched"))+IF($O331="",0,COUNTIFS('9. Payroll Allocation'!$B$234:$B$253,$O331,'9. Payroll Allocation'!$H$234:$H$253,"Tied out"))&gt;0,"Linked","MISSING DETAIL")))</f>
        <v/>
      </c>
      <c r="T331" s="58" t="str">
        <f t="shared" si="52"/>
        <v/>
      </c>
      <c r="U331" s="59" t="str">
        <f>IF($T331="","",COUNTIF($T$6:$T331,"?*"))</f>
        <v/>
      </c>
      <c r="V331" s="58" t="str">
        <f t="shared" si="53"/>
        <v/>
      </c>
    </row>
    <row r="332" spans="1:22" ht="12.95" customHeight="1" x14ac:dyDescent="0.25">
      <c r="A332" s="52" t="str">
        <f t="shared" si="45"/>
        <v/>
      </c>
      <c r="B332" s="37"/>
      <c r="C332" s="28"/>
      <c r="D332" s="35"/>
      <c r="E332" s="38"/>
      <c r="F332" s="38"/>
      <c r="G332" s="52" t="str">
        <f t="shared" si="46"/>
        <v/>
      </c>
      <c r="H332" s="53" t="str">
        <f t="shared" si="47"/>
        <v/>
      </c>
      <c r="I332" s="40"/>
      <c r="J332" s="54" t="str">
        <f t="shared" si="48"/>
        <v/>
      </c>
      <c r="K332" s="41" t="str">
        <f t="shared" si="49"/>
        <v/>
      </c>
      <c r="L332" s="55"/>
      <c r="M332" s="56">
        <f t="shared" si="50"/>
        <v>0</v>
      </c>
      <c r="N332" s="56">
        <f t="shared" si="51"/>
        <v>0</v>
      </c>
      <c r="O332" s="57"/>
      <c r="P332" s="40"/>
      <c r="Q332" s="52" t="str">
        <f>IF($D332="","",IF($K332&lt;&gt;"Balance Sheet / Clearing","-",IF(SUMPRODUCT(--(LEFT('7. Settlements'!$J$8:$J$107,7)=$A332),--('7. Settlements'!$M$8:$M$107="Tied out"))+SUMPRODUCT(--(LEFT('8. Transfers'!$H$9:$H$108,7)=$A332),--('8. Transfers'!$J$9:$J$108="Matched"))+SUMPRODUCT(--(LEFT('8. Transfers'!$I$9:$I$108,7)=$A332),--('8. Transfers'!$J$9:$J$108="Matched"))+IF($O332="",0,COUNTIFS('9. Payroll Allocation'!$B$234:$B$253,$O332,'9. Payroll Allocation'!$H$234:$H$253,"Tied out"))&gt;0,"Linked","MISSING DETAIL")))</f>
        <v/>
      </c>
      <c r="T332" s="58" t="str">
        <f t="shared" si="52"/>
        <v/>
      </c>
      <c r="U332" s="59" t="str">
        <f>IF($T332="","",COUNTIF($T$6:$T332,"?*"))</f>
        <v/>
      </c>
      <c r="V332" s="58" t="str">
        <f t="shared" si="53"/>
        <v/>
      </c>
    </row>
    <row r="333" spans="1:22" ht="12.95" customHeight="1" x14ac:dyDescent="0.25">
      <c r="A333" s="60" t="str">
        <f t="shared" si="45"/>
        <v/>
      </c>
      <c r="B333" s="37"/>
      <c r="C333" s="28"/>
      <c r="D333" s="35"/>
      <c r="E333" s="38"/>
      <c r="F333" s="38"/>
      <c r="G333" s="60" t="str">
        <f t="shared" si="46"/>
        <v/>
      </c>
      <c r="H333" s="61" t="str">
        <f t="shared" si="47"/>
        <v/>
      </c>
      <c r="I333" s="40"/>
      <c r="J333" s="62" t="str">
        <f t="shared" si="48"/>
        <v/>
      </c>
      <c r="K333" s="45" t="str">
        <f t="shared" si="49"/>
        <v/>
      </c>
      <c r="L333" s="55"/>
      <c r="M333" s="63">
        <f t="shared" si="50"/>
        <v>0</v>
      </c>
      <c r="N333" s="63">
        <f t="shared" si="51"/>
        <v>0</v>
      </c>
      <c r="O333" s="57"/>
      <c r="P333" s="40"/>
      <c r="Q333" s="60" t="str">
        <f>IF($D333="","",IF($K333&lt;&gt;"Balance Sheet / Clearing","-",IF(SUMPRODUCT(--(LEFT('7. Settlements'!$J$8:$J$107,7)=$A333),--('7. Settlements'!$M$8:$M$107="Tied out"))+SUMPRODUCT(--(LEFT('8. Transfers'!$H$9:$H$108,7)=$A333),--('8. Transfers'!$J$9:$J$108="Matched"))+SUMPRODUCT(--(LEFT('8. Transfers'!$I$9:$I$108,7)=$A333),--('8. Transfers'!$J$9:$J$108="Matched"))+IF($O333="",0,COUNTIFS('9. Payroll Allocation'!$B$234:$B$253,$O333,'9. Payroll Allocation'!$H$234:$H$253,"Tied out"))&gt;0,"Linked","MISSING DETAIL")))</f>
        <v/>
      </c>
      <c r="T333" s="58" t="str">
        <f t="shared" si="52"/>
        <v/>
      </c>
      <c r="U333" s="59" t="str">
        <f>IF($T333="","",COUNTIF($T$6:$T333,"?*"))</f>
        <v/>
      </c>
      <c r="V333" s="58" t="str">
        <f t="shared" si="53"/>
        <v/>
      </c>
    </row>
    <row r="334" spans="1:22" ht="12.95" customHeight="1" x14ac:dyDescent="0.25">
      <c r="A334" s="52" t="str">
        <f t="shared" si="45"/>
        <v/>
      </c>
      <c r="B334" s="37"/>
      <c r="C334" s="28"/>
      <c r="D334" s="35"/>
      <c r="E334" s="38"/>
      <c r="F334" s="38"/>
      <c r="G334" s="52" t="str">
        <f t="shared" si="46"/>
        <v/>
      </c>
      <c r="H334" s="53" t="str">
        <f t="shared" si="47"/>
        <v/>
      </c>
      <c r="I334" s="40"/>
      <c r="J334" s="54" t="str">
        <f t="shared" si="48"/>
        <v/>
      </c>
      <c r="K334" s="41" t="str">
        <f t="shared" si="49"/>
        <v/>
      </c>
      <c r="L334" s="55"/>
      <c r="M334" s="56">
        <f t="shared" si="50"/>
        <v>0</v>
      </c>
      <c r="N334" s="56">
        <f t="shared" si="51"/>
        <v>0</v>
      </c>
      <c r="O334" s="57"/>
      <c r="P334" s="40"/>
      <c r="Q334" s="52" t="str">
        <f>IF($D334="","",IF($K334&lt;&gt;"Balance Sheet / Clearing","-",IF(SUMPRODUCT(--(LEFT('7. Settlements'!$J$8:$J$107,7)=$A334),--('7. Settlements'!$M$8:$M$107="Tied out"))+SUMPRODUCT(--(LEFT('8. Transfers'!$H$9:$H$108,7)=$A334),--('8. Transfers'!$J$9:$J$108="Matched"))+SUMPRODUCT(--(LEFT('8. Transfers'!$I$9:$I$108,7)=$A334),--('8. Transfers'!$J$9:$J$108="Matched"))+IF($O334="",0,COUNTIFS('9. Payroll Allocation'!$B$234:$B$253,$O334,'9. Payroll Allocation'!$H$234:$H$253,"Tied out"))&gt;0,"Linked","MISSING DETAIL")))</f>
        <v/>
      </c>
      <c r="T334" s="58" t="str">
        <f t="shared" si="52"/>
        <v/>
      </c>
      <c r="U334" s="59" t="str">
        <f>IF($T334="","",COUNTIF($T$6:$T334,"?*"))</f>
        <v/>
      </c>
      <c r="V334" s="58" t="str">
        <f t="shared" si="53"/>
        <v/>
      </c>
    </row>
    <row r="335" spans="1:22" ht="12.95" customHeight="1" x14ac:dyDescent="0.25">
      <c r="A335" s="60" t="str">
        <f t="shared" si="45"/>
        <v/>
      </c>
      <c r="B335" s="37"/>
      <c r="C335" s="28"/>
      <c r="D335" s="35"/>
      <c r="E335" s="38"/>
      <c r="F335" s="38"/>
      <c r="G335" s="60" t="str">
        <f t="shared" si="46"/>
        <v/>
      </c>
      <c r="H335" s="61" t="str">
        <f t="shared" si="47"/>
        <v/>
      </c>
      <c r="I335" s="40"/>
      <c r="J335" s="62" t="str">
        <f t="shared" si="48"/>
        <v/>
      </c>
      <c r="K335" s="45" t="str">
        <f t="shared" si="49"/>
        <v/>
      </c>
      <c r="L335" s="55"/>
      <c r="M335" s="63">
        <f t="shared" si="50"/>
        <v>0</v>
      </c>
      <c r="N335" s="63">
        <f t="shared" si="51"/>
        <v>0</v>
      </c>
      <c r="O335" s="57"/>
      <c r="P335" s="40"/>
      <c r="Q335" s="60" t="str">
        <f>IF($D335="","",IF($K335&lt;&gt;"Balance Sheet / Clearing","-",IF(SUMPRODUCT(--(LEFT('7. Settlements'!$J$8:$J$107,7)=$A335),--('7. Settlements'!$M$8:$M$107="Tied out"))+SUMPRODUCT(--(LEFT('8. Transfers'!$H$9:$H$108,7)=$A335),--('8. Transfers'!$J$9:$J$108="Matched"))+SUMPRODUCT(--(LEFT('8. Transfers'!$I$9:$I$108,7)=$A335),--('8. Transfers'!$J$9:$J$108="Matched"))+IF($O335="",0,COUNTIFS('9. Payroll Allocation'!$B$234:$B$253,$O335,'9. Payroll Allocation'!$H$234:$H$253,"Tied out"))&gt;0,"Linked","MISSING DETAIL")))</f>
        <v/>
      </c>
      <c r="T335" s="58" t="str">
        <f t="shared" si="52"/>
        <v/>
      </c>
      <c r="U335" s="59" t="str">
        <f>IF($T335="","",COUNTIF($T$6:$T335,"?*"))</f>
        <v/>
      </c>
      <c r="V335" s="58" t="str">
        <f t="shared" si="53"/>
        <v/>
      </c>
    </row>
    <row r="336" spans="1:22" ht="12.95" customHeight="1" x14ac:dyDescent="0.25">
      <c r="A336" s="52" t="str">
        <f t="shared" si="45"/>
        <v/>
      </c>
      <c r="B336" s="37"/>
      <c r="C336" s="28"/>
      <c r="D336" s="35"/>
      <c r="E336" s="38"/>
      <c r="F336" s="38"/>
      <c r="G336" s="52" t="str">
        <f t="shared" si="46"/>
        <v/>
      </c>
      <c r="H336" s="53" t="str">
        <f t="shared" si="47"/>
        <v/>
      </c>
      <c r="I336" s="40"/>
      <c r="J336" s="54" t="str">
        <f t="shared" si="48"/>
        <v/>
      </c>
      <c r="K336" s="41" t="str">
        <f t="shared" si="49"/>
        <v/>
      </c>
      <c r="L336" s="55"/>
      <c r="M336" s="56">
        <f t="shared" si="50"/>
        <v>0</v>
      </c>
      <c r="N336" s="56">
        <f t="shared" si="51"/>
        <v>0</v>
      </c>
      <c r="O336" s="57"/>
      <c r="P336" s="40"/>
      <c r="Q336" s="52" t="str">
        <f>IF($D336="","",IF($K336&lt;&gt;"Balance Sheet / Clearing","-",IF(SUMPRODUCT(--(LEFT('7. Settlements'!$J$8:$J$107,7)=$A336),--('7. Settlements'!$M$8:$M$107="Tied out"))+SUMPRODUCT(--(LEFT('8. Transfers'!$H$9:$H$108,7)=$A336),--('8. Transfers'!$J$9:$J$108="Matched"))+SUMPRODUCT(--(LEFT('8. Transfers'!$I$9:$I$108,7)=$A336),--('8. Transfers'!$J$9:$J$108="Matched"))+IF($O336="",0,COUNTIFS('9. Payroll Allocation'!$B$234:$B$253,$O336,'9. Payroll Allocation'!$H$234:$H$253,"Tied out"))&gt;0,"Linked","MISSING DETAIL")))</f>
        <v/>
      </c>
      <c r="T336" s="58" t="str">
        <f t="shared" si="52"/>
        <v/>
      </c>
      <c r="U336" s="59" t="str">
        <f>IF($T336="","",COUNTIF($T$6:$T336,"?*"))</f>
        <v/>
      </c>
      <c r="V336" s="58" t="str">
        <f t="shared" si="53"/>
        <v/>
      </c>
    </row>
    <row r="337" spans="1:22" ht="12.95" customHeight="1" x14ac:dyDescent="0.25">
      <c r="A337" s="60" t="str">
        <f t="shared" si="45"/>
        <v/>
      </c>
      <c r="B337" s="37"/>
      <c r="C337" s="28"/>
      <c r="D337" s="35"/>
      <c r="E337" s="38"/>
      <c r="F337" s="38"/>
      <c r="G337" s="60" t="str">
        <f t="shared" si="46"/>
        <v/>
      </c>
      <c r="H337" s="61" t="str">
        <f t="shared" si="47"/>
        <v/>
      </c>
      <c r="I337" s="40"/>
      <c r="J337" s="62" t="str">
        <f t="shared" si="48"/>
        <v/>
      </c>
      <c r="K337" s="45" t="str">
        <f t="shared" si="49"/>
        <v/>
      </c>
      <c r="L337" s="55"/>
      <c r="M337" s="63">
        <f t="shared" si="50"/>
        <v>0</v>
      </c>
      <c r="N337" s="63">
        <f t="shared" si="51"/>
        <v>0</v>
      </c>
      <c r="O337" s="57"/>
      <c r="P337" s="40"/>
      <c r="Q337" s="60" t="str">
        <f>IF($D337="","",IF($K337&lt;&gt;"Balance Sheet / Clearing","-",IF(SUMPRODUCT(--(LEFT('7. Settlements'!$J$8:$J$107,7)=$A337),--('7. Settlements'!$M$8:$M$107="Tied out"))+SUMPRODUCT(--(LEFT('8. Transfers'!$H$9:$H$108,7)=$A337),--('8. Transfers'!$J$9:$J$108="Matched"))+SUMPRODUCT(--(LEFT('8. Transfers'!$I$9:$I$108,7)=$A337),--('8. Transfers'!$J$9:$J$108="Matched"))+IF($O337="",0,COUNTIFS('9. Payroll Allocation'!$B$234:$B$253,$O337,'9. Payroll Allocation'!$H$234:$H$253,"Tied out"))&gt;0,"Linked","MISSING DETAIL")))</f>
        <v/>
      </c>
      <c r="T337" s="58" t="str">
        <f t="shared" si="52"/>
        <v/>
      </c>
      <c r="U337" s="59" t="str">
        <f>IF($T337="","",COUNTIF($T$6:$T337,"?*"))</f>
        <v/>
      </c>
      <c r="V337" s="58" t="str">
        <f t="shared" si="53"/>
        <v/>
      </c>
    </row>
    <row r="338" spans="1:22" ht="12.95" customHeight="1" x14ac:dyDescent="0.25">
      <c r="A338" s="52" t="str">
        <f t="shared" si="45"/>
        <v/>
      </c>
      <c r="B338" s="37"/>
      <c r="C338" s="28"/>
      <c r="D338" s="35"/>
      <c r="E338" s="38"/>
      <c r="F338" s="38"/>
      <c r="G338" s="52" t="str">
        <f t="shared" si="46"/>
        <v/>
      </c>
      <c r="H338" s="53" t="str">
        <f t="shared" si="47"/>
        <v/>
      </c>
      <c r="I338" s="40"/>
      <c r="J338" s="54" t="str">
        <f t="shared" si="48"/>
        <v/>
      </c>
      <c r="K338" s="41" t="str">
        <f t="shared" si="49"/>
        <v/>
      </c>
      <c r="L338" s="55"/>
      <c r="M338" s="56">
        <f t="shared" si="50"/>
        <v>0</v>
      </c>
      <c r="N338" s="56">
        <f t="shared" si="51"/>
        <v>0</v>
      </c>
      <c r="O338" s="57"/>
      <c r="P338" s="40"/>
      <c r="Q338" s="52" t="str">
        <f>IF($D338="","",IF($K338&lt;&gt;"Balance Sheet / Clearing","-",IF(SUMPRODUCT(--(LEFT('7. Settlements'!$J$8:$J$107,7)=$A338),--('7. Settlements'!$M$8:$M$107="Tied out"))+SUMPRODUCT(--(LEFT('8. Transfers'!$H$9:$H$108,7)=$A338),--('8. Transfers'!$J$9:$J$108="Matched"))+SUMPRODUCT(--(LEFT('8. Transfers'!$I$9:$I$108,7)=$A338),--('8. Transfers'!$J$9:$J$108="Matched"))+IF($O338="",0,COUNTIFS('9. Payroll Allocation'!$B$234:$B$253,$O338,'9. Payroll Allocation'!$H$234:$H$253,"Tied out"))&gt;0,"Linked","MISSING DETAIL")))</f>
        <v/>
      </c>
      <c r="T338" s="58" t="str">
        <f t="shared" si="52"/>
        <v/>
      </c>
      <c r="U338" s="59" t="str">
        <f>IF($T338="","",COUNTIF($T$6:$T338,"?*"))</f>
        <v/>
      </c>
      <c r="V338" s="58" t="str">
        <f t="shared" si="53"/>
        <v/>
      </c>
    </row>
    <row r="339" spans="1:22" ht="12.95" customHeight="1" x14ac:dyDescent="0.25">
      <c r="A339" s="60" t="str">
        <f t="shared" si="45"/>
        <v/>
      </c>
      <c r="B339" s="37"/>
      <c r="C339" s="28"/>
      <c r="D339" s="35"/>
      <c r="E339" s="38"/>
      <c r="F339" s="38"/>
      <c r="G339" s="60" t="str">
        <f t="shared" si="46"/>
        <v/>
      </c>
      <c r="H339" s="61" t="str">
        <f t="shared" si="47"/>
        <v/>
      </c>
      <c r="I339" s="40"/>
      <c r="J339" s="62" t="str">
        <f t="shared" si="48"/>
        <v/>
      </c>
      <c r="K339" s="45" t="str">
        <f t="shared" si="49"/>
        <v/>
      </c>
      <c r="L339" s="55"/>
      <c r="M339" s="63">
        <f t="shared" si="50"/>
        <v>0</v>
      </c>
      <c r="N339" s="63">
        <f t="shared" si="51"/>
        <v>0</v>
      </c>
      <c r="O339" s="57"/>
      <c r="P339" s="40"/>
      <c r="Q339" s="60" t="str">
        <f>IF($D339="","",IF($K339&lt;&gt;"Balance Sheet / Clearing","-",IF(SUMPRODUCT(--(LEFT('7. Settlements'!$J$8:$J$107,7)=$A339),--('7. Settlements'!$M$8:$M$107="Tied out"))+SUMPRODUCT(--(LEFT('8. Transfers'!$H$9:$H$108,7)=$A339),--('8. Transfers'!$J$9:$J$108="Matched"))+SUMPRODUCT(--(LEFT('8. Transfers'!$I$9:$I$108,7)=$A339),--('8. Transfers'!$J$9:$J$108="Matched"))+IF($O339="",0,COUNTIFS('9. Payroll Allocation'!$B$234:$B$253,$O339,'9. Payroll Allocation'!$H$234:$H$253,"Tied out"))&gt;0,"Linked","MISSING DETAIL")))</f>
        <v/>
      </c>
      <c r="T339" s="58" t="str">
        <f t="shared" si="52"/>
        <v/>
      </c>
      <c r="U339" s="59" t="str">
        <f>IF($T339="","",COUNTIF($T$6:$T339,"?*"))</f>
        <v/>
      </c>
      <c r="V339" s="58" t="str">
        <f t="shared" si="53"/>
        <v/>
      </c>
    </row>
    <row r="340" spans="1:22" ht="12.95" customHeight="1" x14ac:dyDescent="0.25">
      <c r="A340" s="52" t="str">
        <f t="shared" si="45"/>
        <v/>
      </c>
      <c r="B340" s="37"/>
      <c r="C340" s="28"/>
      <c r="D340" s="35"/>
      <c r="E340" s="38"/>
      <c r="F340" s="38"/>
      <c r="G340" s="52" t="str">
        <f t="shared" si="46"/>
        <v/>
      </c>
      <c r="H340" s="53" t="str">
        <f t="shared" si="47"/>
        <v/>
      </c>
      <c r="I340" s="40"/>
      <c r="J340" s="54" t="str">
        <f t="shared" si="48"/>
        <v/>
      </c>
      <c r="K340" s="41" t="str">
        <f t="shared" si="49"/>
        <v/>
      </c>
      <c r="L340" s="55"/>
      <c r="M340" s="56">
        <f t="shared" si="50"/>
        <v>0</v>
      </c>
      <c r="N340" s="56">
        <f t="shared" si="51"/>
        <v>0</v>
      </c>
      <c r="O340" s="57"/>
      <c r="P340" s="40"/>
      <c r="Q340" s="52" t="str">
        <f>IF($D340="","",IF($K340&lt;&gt;"Balance Sheet / Clearing","-",IF(SUMPRODUCT(--(LEFT('7. Settlements'!$J$8:$J$107,7)=$A340),--('7. Settlements'!$M$8:$M$107="Tied out"))+SUMPRODUCT(--(LEFT('8. Transfers'!$H$9:$H$108,7)=$A340),--('8. Transfers'!$J$9:$J$108="Matched"))+SUMPRODUCT(--(LEFT('8. Transfers'!$I$9:$I$108,7)=$A340),--('8. Transfers'!$J$9:$J$108="Matched"))+IF($O340="",0,COUNTIFS('9. Payroll Allocation'!$B$234:$B$253,$O340,'9. Payroll Allocation'!$H$234:$H$253,"Tied out"))&gt;0,"Linked","MISSING DETAIL")))</f>
        <v/>
      </c>
      <c r="T340" s="58" t="str">
        <f t="shared" si="52"/>
        <v/>
      </c>
      <c r="U340" s="59" t="str">
        <f>IF($T340="","",COUNTIF($T$6:$T340,"?*"))</f>
        <v/>
      </c>
      <c r="V340" s="58" t="str">
        <f t="shared" si="53"/>
        <v/>
      </c>
    </row>
    <row r="341" spans="1:22" ht="12.95" customHeight="1" x14ac:dyDescent="0.25">
      <c r="A341" s="60" t="str">
        <f t="shared" si="45"/>
        <v/>
      </c>
      <c r="B341" s="37"/>
      <c r="C341" s="28"/>
      <c r="D341" s="35"/>
      <c r="E341" s="38"/>
      <c r="F341" s="38"/>
      <c r="G341" s="60" t="str">
        <f t="shared" si="46"/>
        <v/>
      </c>
      <c r="H341" s="61" t="str">
        <f t="shared" si="47"/>
        <v/>
      </c>
      <c r="I341" s="40"/>
      <c r="J341" s="62" t="str">
        <f t="shared" si="48"/>
        <v/>
      </c>
      <c r="K341" s="45" t="str">
        <f t="shared" si="49"/>
        <v/>
      </c>
      <c r="L341" s="55"/>
      <c r="M341" s="63">
        <f t="shared" si="50"/>
        <v>0</v>
      </c>
      <c r="N341" s="63">
        <f t="shared" si="51"/>
        <v>0</v>
      </c>
      <c r="O341" s="57"/>
      <c r="P341" s="40"/>
      <c r="Q341" s="60" t="str">
        <f>IF($D341="","",IF($K341&lt;&gt;"Balance Sheet / Clearing","-",IF(SUMPRODUCT(--(LEFT('7. Settlements'!$J$8:$J$107,7)=$A341),--('7. Settlements'!$M$8:$M$107="Tied out"))+SUMPRODUCT(--(LEFT('8. Transfers'!$H$9:$H$108,7)=$A341),--('8. Transfers'!$J$9:$J$108="Matched"))+SUMPRODUCT(--(LEFT('8. Transfers'!$I$9:$I$108,7)=$A341),--('8. Transfers'!$J$9:$J$108="Matched"))+IF($O341="",0,COUNTIFS('9. Payroll Allocation'!$B$234:$B$253,$O341,'9. Payroll Allocation'!$H$234:$H$253,"Tied out"))&gt;0,"Linked","MISSING DETAIL")))</f>
        <v/>
      </c>
      <c r="T341" s="58" t="str">
        <f t="shared" si="52"/>
        <v/>
      </c>
      <c r="U341" s="59" t="str">
        <f>IF($T341="","",COUNTIF($T$6:$T341,"?*"))</f>
        <v/>
      </c>
      <c r="V341" s="58" t="str">
        <f t="shared" si="53"/>
        <v/>
      </c>
    </row>
    <row r="342" spans="1:22" ht="12.95" customHeight="1" x14ac:dyDescent="0.25">
      <c r="A342" s="52" t="str">
        <f t="shared" si="45"/>
        <v/>
      </c>
      <c r="B342" s="37"/>
      <c r="C342" s="28"/>
      <c r="D342" s="35"/>
      <c r="E342" s="38"/>
      <c r="F342" s="38"/>
      <c r="G342" s="52" t="str">
        <f t="shared" si="46"/>
        <v/>
      </c>
      <c r="H342" s="53" t="str">
        <f t="shared" si="47"/>
        <v/>
      </c>
      <c r="I342" s="40"/>
      <c r="J342" s="54" t="str">
        <f t="shared" si="48"/>
        <v/>
      </c>
      <c r="K342" s="41" t="str">
        <f t="shared" si="49"/>
        <v/>
      </c>
      <c r="L342" s="55"/>
      <c r="M342" s="56">
        <f t="shared" si="50"/>
        <v>0</v>
      </c>
      <c r="N342" s="56">
        <f t="shared" si="51"/>
        <v>0</v>
      </c>
      <c r="O342" s="57"/>
      <c r="P342" s="40"/>
      <c r="Q342" s="52" t="str">
        <f>IF($D342="","",IF($K342&lt;&gt;"Balance Sheet / Clearing","-",IF(SUMPRODUCT(--(LEFT('7. Settlements'!$J$8:$J$107,7)=$A342),--('7. Settlements'!$M$8:$M$107="Tied out"))+SUMPRODUCT(--(LEFT('8. Transfers'!$H$9:$H$108,7)=$A342),--('8. Transfers'!$J$9:$J$108="Matched"))+SUMPRODUCT(--(LEFT('8. Transfers'!$I$9:$I$108,7)=$A342),--('8. Transfers'!$J$9:$J$108="Matched"))+IF($O342="",0,COUNTIFS('9. Payroll Allocation'!$B$234:$B$253,$O342,'9. Payroll Allocation'!$H$234:$H$253,"Tied out"))&gt;0,"Linked","MISSING DETAIL")))</f>
        <v/>
      </c>
      <c r="T342" s="58" t="str">
        <f t="shared" si="52"/>
        <v/>
      </c>
      <c r="U342" s="59" t="str">
        <f>IF($T342="","",COUNTIF($T$6:$T342,"?*"))</f>
        <v/>
      </c>
      <c r="V342" s="58" t="str">
        <f t="shared" si="53"/>
        <v/>
      </c>
    </row>
    <row r="343" spans="1:22" ht="12.95" customHeight="1" x14ac:dyDescent="0.25">
      <c r="A343" s="60" t="str">
        <f t="shared" si="45"/>
        <v/>
      </c>
      <c r="B343" s="37"/>
      <c r="C343" s="28"/>
      <c r="D343" s="35"/>
      <c r="E343" s="38"/>
      <c r="F343" s="38"/>
      <c r="G343" s="60" t="str">
        <f t="shared" si="46"/>
        <v/>
      </c>
      <c r="H343" s="61" t="str">
        <f t="shared" si="47"/>
        <v/>
      </c>
      <c r="I343" s="40"/>
      <c r="J343" s="62" t="str">
        <f t="shared" si="48"/>
        <v/>
      </c>
      <c r="K343" s="45" t="str">
        <f t="shared" si="49"/>
        <v/>
      </c>
      <c r="L343" s="55"/>
      <c r="M343" s="63">
        <f t="shared" si="50"/>
        <v>0</v>
      </c>
      <c r="N343" s="63">
        <f t="shared" si="51"/>
        <v>0</v>
      </c>
      <c r="O343" s="57"/>
      <c r="P343" s="40"/>
      <c r="Q343" s="60" t="str">
        <f>IF($D343="","",IF($K343&lt;&gt;"Balance Sheet / Clearing","-",IF(SUMPRODUCT(--(LEFT('7. Settlements'!$J$8:$J$107,7)=$A343),--('7. Settlements'!$M$8:$M$107="Tied out"))+SUMPRODUCT(--(LEFT('8. Transfers'!$H$9:$H$108,7)=$A343),--('8. Transfers'!$J$9:$J$108="Matched"))+SUMPRODUCT(--(LEFT('8. Transfers'!$I$9:$I$108,7)=$A343),--('8. Transfers'!$J$9:$J$108="Matched"))+IF($O343="",0,COUNTIFS('9. Payroll Allocation'!$B$234:$B$253,$O343,'9. Payroll Allocation'!$H$234:$H$253,"Tied out"))&gt;0,"Linked","MISSING DETAIL")))</f>
        <v/>
      </c>
      <c r="T343" s="58" t="str">
        <f t="shared" si="52"/>
        <v/>
      </c>
      <c r="U343" s="59" t="str">
        <f>IF($T343="","",COUNTIF($T$6:$T343,"?*"))</f>
        <v/>
      </c>
      <c r="V343" s="58" t="str">
        <f t="shared" si="53"/>
        <v/>
      </c>
    </row>
    <row r="344" spans="1:22" ht="12.95" customHeight="1" x14ac:dyDescent="0.25">
      <c r="A344" s="52" t="str">
        <f t="shared" si="45"/>
        <v/>
      </c>
      <c r="B344" s="37"/>
      <c r="C344" s="28"/>
      <c r="D344" s="35"/>
      <c r="E344" s="38"/>
      <c r="F344" s="38"/>
      <c r="G344" s="52" t="str">
        <f t="shared" si="46"/>
        <v/>
      </c>
      <c r="H344" s="53" t="str">
        <f t="shared" si="47"/>
        <v/>
      </c>
      <c r="I344" s="40"/>
      <c r="J344" s="54" t="str">
        <f t="shared" si="48"/>
        <v/>
      </c>
      <c r="K344" s="41" t="str">
        <f t="shared" si="49"/>
        <v/>
      </c>
      <c r="L344" s="55"/>
      <c r="M344" s="56">
        <f t="shared" si="50"/>
        <v>0</v>
      </c>
      <c r="N344" s="56">
        <f t="shared" si="51"/>
        <v>0</v>
      </c>
      <c r="O344" s="57"/>
      <c r="P344" s="40"/>
      <c r="Q344" s="52" t="str">
        <f>IF($D344="","",IF($K344&lt;&gt;"Balance Sheet / Clearing","-",IF(SUMPRODUCT(--(LEFT('7. Settlements'!$J$8:$J$107,7)=$A344),--('7. Settlements'!$M$8:$M$107="Tied out"))+SUMPRODUCT(--(LEFT('8. Transfers'!$H$9:$H$108,7)=$A344),--('8. Transfers'!$J$9:$J$108="Matched"))+SUMPRODUCT(--(LEFT('8. Transfers'!$I$9:$I$108,7)=$A344),--('8. Transfers'!$J$9:$J$108="Matched"))+IF($O344="",0,COUNTIFS('9. Payroll Allocation'!$B$234:$B$253,$O344,'9. Payroll Allocation'!$H$234:$H$253,"Tied out"))&gt;0,"Linked","MISSING DETAIL")))</f>
        <v/>
      </c>
      <c r="T344" s="58" t="str">
        <f t="shared" si="52"/>
        <v/>
      </c>
      <c r="U344" s="59" t="str">
        <f>IF($T344="","",COUNTIF($T$6:$T344,"?*"))</f>
        <v/>
      </c>
      <c r="V344" s="58" t="str">
        <f t="shared" si="53"/>
        <v/>
      </c>
    </row>
    <row r="345" spans="1:22" ht="12.95" customHeight="1" x14ac:dyDescent="0.25">
      <c r="A345" s="60" t="str">
        <f t="shared" si="45"/>
        <v/>
      </c>
      <c r="B345" s="37"/>
      <c r="C345" s="28"/>
      <c r="D345" s="35"/>
      <c r="E345" s="38"/>
      <c r="F345" s="38"/>
      <c r="G345" s="60" t="str">
        <f t="shared" si="46"/>
        <v/>
      </c>
      <c r="H345" s="61" t="str">
        <f t="shared" si="47"/>
        <v/>
      </c>
      <c r="I345" s="40"/>
      <c r="J345" s="62" t="str">
        <f t="shared" si="48"/>
        <v/>
      </c>
      <c r="K345" s="45" t="str">
        <f t="shared" si="49"/>
        <v/>
      </c>
      <c r="L345" s="55"/>
      <c r="M345" s="63">
        <f t="shared" si="50"/>
        <v>0</v>
      </c>
      <c r="N345" s="63">
        <f t="shared" si="51"/>
        <v>0</v>
      </c>
      <c r="O345" s="57"/>
      <c r="P345" s="40"/>
      <c r="Q345" s="60" t="str">
        <f>IF($D345="","",IF($K345&lt;&gt;"Balance Sheet / Clearing","-",IF(SUMPRODUCT(--(LEFT('7. Settlements'!$J$8:$J$107,7)=$A345),--('7. Settlements'!$M$8:$M$107="Tied out"))+SUMPRODUCT(--(LEFT('8. Transfers'!$H$9:$H$108,7)=$A345),--('8. Transfers'!$J$9:$J$108="Matched"))+SUMPRODUCT(--(LEFT('8. Transfers'!$I$9:$I$108,7)=$A345),--('8. Transfers'!$J$9:$J$108="Matched"))+IF($O345="",0,COUNTIFS('9. Payroll Allocation'!$B$234:$B$253,$O345,'9. Payroll Allocation'!$H$234:$H$253,"Tied out"))&gt;0,"Linked","MISSING DETAIL")))</f>
        <v/>
      </c>
      <c r="T345" s="58" t="str">
        <f t="shared" si="52"/>
        <v/>
      </c>
      <c r="U345" s="59" t="str">
        <f>IF($T345="","",COUNTIF($T$6:$T345,"?*"))</f>
        <v/>
      </c>
      <c r="V345" s="58" t="str">
        <f t="shared" si="53"/>
        <v/>
      </c>
    </row>
    <row r="346" spans="1:22" ht="12.95" customHeight="1" x14ac:dyDescent="0.25">
      <c r="A346" s="52" t="str">
        <f t="shared" si="45"/>
        <v/>
      </c>
      <c r="B346" s="37"/>
      <c r="C346" s="28"/>
      <c r="D346" s="35"/>
      <c r="E346" s="38"/>
      <c r="F346" s="38"/>
      <c r="G346" s="52" t="str">
        <f t="shared" si="46"/>
        <v/>
      </c>
      <c r="H346" s="53" t="str">
        <f t="shared" si="47"/>
        <v/>
      </c>
      <c r="I346" s="40"/>
      <c r="J346" s="54" t="str">
        <f t="shared" si="48"/>
        <v/>
      </c>
      <c r="K346" s="41" t="str">
        <f t="shared" si="49"/>
        <v/>
      </c>
      <c r="L346" s="55"/>
      <c r="M346" s="56">
        <f t="shared" si="50"/>
        <v>0</v>
      </c>
      <c r="N346" s="56">
        <f t="shared" si="51"/>
        <v>0</v>
      </c>
      <c r="O346" s="57"/>
      <c r="P346" s="40"/>
      <c r="Q346" s="52" t="str">
        <f>IF($D346="","",IF($K346&lt;&gt;"Balance Sheet / Clearing","-",IF(SUMPRODUCT(--(LEFT('7. Settlements'!$J$8:$J$107,7)=$A346),--('7. Settlements'!$M$8:$M$107="Tied out"))+SUMPRODUCT(--(LEFT('8. Transfers'!$H$9:$H$108,7)=$A346),--('8. Transfers'!$J$9:$J$108="Matched"))+SUMPRODUCT(--(LEFT('8. Transfers'!$I$9:$I$108,7)=$A346),--('8. Transfers'!$J$9:$J$108="Matched"))+IF($O346="",0,COUNTIFS('9. Payroll Allocation'!$B$234:$B$253,$O346,'9. Payroll Allocation'!$H$234:$H$253,"Tied out"))&gt;0,"Linked","MISSING DETAIL")))</f>
        <v/>
      </c>
      <c r="T346" s="58" t="str">
        <f t="shared" si="52"/>
        <v/>
      </c>
      <c r="U346" s="59" t="str">
        <f>IF($T346="","",COUNTIF($T$6:$T346,"?*"))</f>
        <v/>
      </c>
      <c r="V346" s="58" t="str">
        <f t="shared" si="53"/>
        <v/>
      </c>
    </row>
    <row r="347" spans="1:22" ht="12.95" customHeight="1" x14ac:dyDescent="0.25">
      <c r="A347" s="60" t="str">
        <f t="shared" si="45"/>
        <v/>
      </c>
      <c r="B347" s="37"/>
      <c r="C347" s="28"/>
      <c r="D347" s="35"/>
      <c r="E347" s="38"/>
      <c r="F347" s="38"/>
      <c r="G347" s="60" t="str">
        <f t="shared" si="46"/>
        <v/>
      </c>
      <c r="H347" s="61" t="str">
        <f t="shared" si="47"/>
        <v/>
      </c>
      <c r="I347" s="40"/>
      <c r="J347" s="62" t="str">
        <f t="shared" si="48"/>
        <v/>
      </c>
      <c r="K347" s="45" t="str">
        <f t="shared" si="49"/>
        <v/>
      </c>
      <c r="L347" s="55"/>
      <c r="M347" s="63">
        <f t="shared" si="50"/>
        <v>0</v>
      </c>
      <c r="N347" s="63">
        <f t="shared" si="51"/>
        <v>0</v>
      </c>
      <c r="O347" s="57"/>
      <c r="P347" s="40"/>
      <c r="Q347" s="60" t="str">
        <f>IF($D347="","",IF($K347&lt;&gt;"Balance Sheet / Clearing","-",IF(SUMPRODUCT(--(LEFT('7. Settlements'!$J$8:$J$107,7)=$A347),--('7. Settlements'!$M$8:$M$107="Tied out"))+SUMPRODUCT(--(LEFT('8. Transfers'!$H$9:$H$108,7)=$A347),--('8. Transfers'!$J$9:$J$108="Matched"))+SUMPRODUCT(--(LEFT('8. Transfers'!$I$9:$I$108,7)=$A347),--('8. Transfers'!$J$9:$J$108="Matched"))+IF($O347="",0,COUNTIFS('9. Payroll Allocation'!$B$234:$B$253,$O347,'9. Payroll Allocation'!$H$234:$H$253,"Tied out"))&gt;0,"Linked","MISSING DETAIL")))</f>
        <v/>
      </c>
      <c r="T347" s="58" t="str">
        <f t="shared" si="52"/>
        <v/>
      </c>
      <c r="U347" s="59" t="str">
        <f>IF($T347="","",COUNTIF($T$6:$T347,"?*"))</f>
        <v/>
      </c>
      <c r="V347" s="58" t="str">
        <f t="shared" si="53"/>
        <v/>
      </c>
    </row>
    <row r="348" spans="1:22" ht="12.95" customHeight="1" x14ac:dyDescent="0.25">
      <c r="A348" s="52" t="str">
        <f t="shared" si="45"/>
        <v/>
      </c>
      <c r="B348" s="37"/>
      <c r="C348" s="28"/>
      <c r="D348" s="35"/>
      <c r="E348" s="38"/>
      <c r="F348" s="38"/>
      <c r="G348" s="52" t="str">
        <f t="shared" si="46"/>
        <v/>
      </c>
      <c r="H348" s="53" t="str">
        <f t="shared" si="47"/>
        <v/>
      </c>
      <c r="I348" s="40"/>
      <c r="J348" s="54" t="str">
        <f t="shared" si="48"/>
        <v/>
      </c>
      <c r="K348" s="41" t="str">
        <f t="shared" si="49"/>
        <v/>
      </c>
      <c r="L348" s="55"/>
      <c r="M348" s="56">
        <f t="shared" si="50"/>
        <v>0</v>
      </c>
      <c r="N348" s="56">
        <f t="shared" si="51"/>
        <v>0</v>
      </c>
      <c r="O348" s="57"/>
      <c r="P348" s="40"/>
      <c r="Q348" s="52" t="str">
        <f>IF($D348="","",IF($K348&lt;&gt;"Balance Sheet / Clearing","-",IF(SUMPRODUCT(--(LEFT('7. Settlements'!$J$8:$J$107,7)=$A348),--('7. Settlements'!$M$8:$M$107="Tied out"))+SUMPRODUCT(--(LEFT('8. Transfers'!$H$9:$H$108,7)=$A348),--('8. Transfers'!$J$9:$J$108="Matched"))+SUMPRODUCT(--(LEFT('8. Transfers'!$I$9:$I$108,7)=$A348),--('8. Transfers'!$J$9:$J$108="Matched"))+IF($O348="",0,COUNTIFS('9. Payroll Allocation'!$B$234:$B$253,$O348,'9. Payroll Allocation'!$H$234:$H$253,"Tied out"))&gt;0,"Linked","MISSING DETAIL")))</f>
        <v/>
      </c>
      <c r="T348" s="58" t="str">
        <f t="shared" si="52"/>
        <v/>
      </c>
      <c r="U348" s="59" t="str">
        <f>IF($T348="","",COUNTIF($T$6:$T348,"?*"))</f>
        <v/>
      </c>
      <c r="V348" s="58" t="str">
        <f t="shared" si="53"/>
        <v/>
      </c>
    </row>
    <row r="349" spans="1:22" ht="12.95" customHeight="1" x14ac:dyDescent="0.25">
      <c r="A349" s="60" t="str">
        <f t="shared" si="45"/>
        <v/>
      </c>
      <c r="B349" s="37"/>
      <c r="C349" s="28"/>
      <c r="D349" s="35"/>
      <c r="E349" s="38"/>
      <c r="F349" s="38"/>
      <c r="G349" s="60" t="str">
        <f t="shared" si="46"/>
        <v/>
      </c>
      <c r="H349" s="61" t="str">
        <f t="shared" si="47"/>
        <v/>
      </c>
      <c r="I349" s="40"/>
      <c r="J349" s="62" t="str">
        <f t="shared" si="48"/>
        <v/>
      </c>
      <c r="K349" s="45" t="str">
        <f t="shared" si="49"/>
        <v/>
      </c>
      <c r="L349" s="55"/>
      <c r="M349" s="63">
        <f t="shared" si="50"/>
        <v>0</v>
      </c>
      <c r="N349" s="63">
        <f t="shared" si="51"/>
        <v>0</v>
      </c>
      <c r="O349" s="57"/>
      <c r="P349" s="40"/>
      <c r="Q349" s="60" t="str">
        <f>IF($D349="","",IF($K349&lt;&gt;"Balance Sheet / Clearing","-",IF(SUMPRODUCT(--(LEFT('7. Settlements'!$J$8:$J$107,7)=$A349),--('7. Settlements'!$M$8:$M$107="Tied out"))+SUMPRODUCT(--(LEFT('8. Transfers'!$H$9:$H$108,7)=$A349),--('8. Transfers'!$J$9:$J$108="Matched"))+SUMPRODUCT(--(LEFT('8. Transfers'!$I$9:$I$108,7)=$A349),--('8. Transfers'!$J$9:$J$108="Matched"))+IF($O349="",0,COUNTIFS('9. Payroll Allocation'!$B$234:$B$253,$O349,'9. Payroll Allocation'!$H$234:$H$253,"Tied out"))&gt;0,"Linked","MISSING DETAIL")))</f>
        <v/>
      </c>
      <c r="T349" s="58" t="str">
        <f t="shared" si="52"/>
        <v/>
      </c>
      <c r="U349" s="59" t="str">
        <f>IF($T349="","",COUNTIF($T$6:$T349,"?*"))</f>
        <v/>
      </c>
      <c r="V349" s="58" t="str">
        <f t="shared" si="53"/>
        <v/>
      </c>
    </row>
    <row r="350" spans="1:22" ht="12.95" customHeight="1" x14ac:dyDescent="0.25">
      <c r="A350" s="52" t="str">
        <f t="shared" si="45"/>
        <v/>
      </c>
      <c r="B350" s="37"/>
      <c r="C350" s="28"/>
      <c r="D350" s="35"/>
      <c r="E350" s="38"/>
      <c r="F350" s="38"/>
      <c r="G350" s="52" t="str">
        <f t="shared" si="46"/>
        <v/>
      </c>
      <c r="H350" s="53" t="str">
        <f t="shared" si="47"/>
        <v/>
      </c>
      <c r="I350" s="40"/>
      <c r="J350" s="54" t="str">
        <f t="shared" si="48"/>
        <v/>
      </c>
      <c r="K350" s="41" t="str">
        <f t="shared" si="49"/>
        <v/>
      </c>
      <c r="L350" s="55"/>
      <c r="M350" s="56">
        <f t="shared" si="50"/>
        <v>0</v>
      </c>
      <c r="N350" s="56">
        <f t="shared" si="51"/>
        <v>0</v>
      </c>
      <c r="O350" s="57"/>
      <c r="P350" s="40"/>
      <c r="Q350" s="52" t="str">
        <f>IF($D350="","",IF($K350&lt;&gt;"Balance Sheet / Clearing","-",IF(SUMPRODUCT(--(LEFT('7. Settlements'!$J$8:$J$107,7)=$A350),--('7. Settlements'!$M$8:$M$107="Tied out"))+SUMPRODUCT(--(LEFT('8. Transfers'!$H$9:$H$108,7)=$A350),--('8. Transfers'!$J$9:$J$108="Matched"))+SUMPRODUCT(--(LEFT('8. Transfers'!$I$9:$I$108,7)=$A350),--('8. Transfers'!$J$9:$J$108="Matched"))+IF($O350="",0,COUNTIFS('9. Payroll Allocation'!$B$234:$B$253,$O350,'9. Payroll Allocation'!$H$234:$H$253,"Tied out"))&gt;0,"Linked","MISSING DETAIL")))</f>
        <v/>
      </c>
      <c r="T350" s="58" t="str">
        <f t="shared" si="52"/>
        <v/>
      </c>
      <c r="U350" s="59" t="str">
        <f>IF($T350="","",COUNTIF($T$6:$T350,"?*"))</f>
        <v/>
      </c>
      <c r="V350" s="58" t="str">
        <f t="shared" si="53"/>
        <v/>
      </c>
    </row>
    <row r="351" spans="1:22" ht="12.95" customHeight="1" x14ac:dyDescent="0.25">
      <c r="A351" s="60" t="str">
        <f t="shared" si="45"/>
        <v/>
      </c>
      <c r="B351" s="37"/>
      <c r="C351" s="28"/>
      <c r="D351" s="35"/>
      <c r="E351" s="38"/>
      <c r="F351" s="38"/>
      <c r="G351" s="60" t="str">
        <f t="shared" si="46"/>
        <v/>
      </c>
      <c r="H351" s="61" t="str">
        <f t="shared" si="47"/>
        <v/>
      </c>
      <c r="I351" s="40"/>
      <c r="J351" s="62" t="str">
        <f t="shared" si="48"/>
        <v/>
      </c>
      <c r="K351" s="45" t="str">
        <f t="shared" si="49"/>
        <v/>
      </c>
      <c r="L351" s="55"/>
      <c r="M351" s="63">
        <f t="shared" si="50"/>
        <v>0</v>
      </c>
      <c r="N351" s="63">
        <f t="shared" si="51"/>
        <v>0</v>
      </c>
      <c r="O351" s="57"/>
      <c r="P351" s="40"/>
      <c r="Q351" s="60" t="str">
        <f>IF($D351="","",IF($K351&lt;&gt;"Balance Sheet / Clearing","-",IF(SUMPRODUCT(--(LEFT('7. Settlements'!$J$8:$J$107,7)=$A351),--('7. Settlements'!$M$8:$M$107="Tied out"))+SUMPRODUCT(--(LEFT('8. Transfers'!$H$9:$H$108,7)=$A351),--('8. Transfers'!$J$9:$J$108="Matched"))+SUMPRODUCT(--(LEFT('8. Transfers'!$I$9:$I$108,7)=$A351),--('8. Transfers'!$J$9:$J$108="Matched"))+IF($O351="",0,COUNTIFS('9. Payroll Allocation'!$B$234:$B$253,$O351,'9. Payroll Allocation'!$H$234:$H$253,"Tied out"))&gt;0,"Linked","MISSING DETAIL")))</f>
        <v/>
      </c>
      <c r="T351" s="58" t="str">
        <f t="shared" si="52"/>
        <v/>
      </c>
      <c r="U351" s="59" t="str">
        <f>IF($T351="","",COUNTIF($T$6:$T351,"?*"))</f>
        <v/>
      </c>
      <c r="V351" s="58" t="str">
        <f t="shared" si="53"/>
        <v/>
      </c>
    </row>
    <row r="352" spans="1:22" ht="12.95" customHeight="1" x14ac:dyDescent="0.25">
      <c r="A352" s="52" t="str">
        <f t="shared" si="45"/>
        <v/>
      </c>
      <c r="B352" s="37"/>
      <c r="C352" s="28"/>
      <c r="D352" s="35"/>
      <c r="E352" s="38"/>
      <c r="F352" s="38"/>
      <c r="G352" s="52" t="str">
        <f t="shared" si="46"/>
        <v/>
      </c>
      <c r="H352" s="53" t="str">
        <f t="shared" si="47"/>
        <v/>
      </c>
      <c r="I352" s="40"/>
      <c r="J352" s="54" t="str">
        <f t="shared" si="48"/>
        <v/>
      </c>
      <c r="K352" s="41" t="str">
        <f t="shared" si="49"/>
        <v/>
      </c>
      <c r="L352" s="55"/>
      <c r="M352" s="56">
        <f t="shared" si="50"/>
        <v>0</v>
      </c>
      <c r="N352" s="56">
        <f t="shared" si="51"/>
        <v>0</v>
      </c>
      <c r="O352" s="57"/>
      <c r="P352" s="40"/>
      <c r="Q352" s="52" t="str">
        <f>IF($D352="","",IF($K352&lt;&gt;"Balance Sheet / Clearing","-",IF(SUMPRODUCT(--(LEFT('7. Settlements'!$J$8:$J$107,7)=$A352),--('7. Settlements'!$M$8:$M$107="Tied out"))+SUMPRODUCT(--(LEFT('8. Transfers'!$H$9:$H$108,7)=$A352),--('8. Transfers'!$J$9:$J$108="Matched"))+SUMPRODUCT(--(LEFT('8. Transfers'!$I$9:$I$108,7)=$A352),--('8. Transfers'!$J$9:$J$108="Matched"))+IF($O352="",0,COUNTIFS('9. Payroll Allocation'!$B$234:$B$253,$O352,'9. Payroll Allocation'!$H$234:$H$253,"Tied out"))&gt;0,"Linked","MISSING DETAIL")))</f>
        <v/>
      </c>
      <c r="T352" s="58" t="str">
        <f t="shared" si="52"/>
        <v/>
      </c>
      <c r="U352" s="59" t="str">
        <f>IF($T352="","",COUNTIF($T$6:$T352,"?*"))</f>
        <v/>
      </c>
      <c r="V352" s="58" t="str">
        <f t="shared" si="53"/>
        <v/>
      </c>
    </row>
    <row r="353" spans="1:22" ht="12.95" customHeight="1" x14ac:dyDescent="0.25">
      <c r="A353" s="60" t="str">
        <f t="shared" si="45"/>
        <v/>
      </c>
      <c r="B353" s="37"/>
      <c r="C353" s="28"/>
      <c r="D353" s="35"/>
      <c r="E353" s="38"/>
      <c r="F353" s="38"/>
      <c r="G353" s="60" t="str">
        <f t="shared" si="46"/>
        <v/>
      </c>
      <c r="H353" s="61" t="str">
        <f t="shared" si="47"/>
        <v/>
      </c>
      <c r="I353" s="40"/>
      <c r="J353" s="62" t="str">
        <f t="shared" si="48"/>
        <v/>
      </c>
      <c r="K353" s="45" t="str">
        <f t="shared" si="49"/>
        <v/>
      </c>
      <c r="L353" s="55"/>
      <c r="M353" s="63">
        <f t="shared" si="50"/>
        <v>0</v>
      </c>
      <c r="N353" s="63">
        <f t="shared" si="51"/>
        <v>0</v>
      </c>
      <c r="O353" s="57"/>
      <c r="P353" s="40"/>
      <c r="Q353" s="60" t="str">
        <f>IF($D353="","",IF($K353&lt;&gt;"Balance Sheet / Clearing","-",IF(SUMPRODUCT(--(LEFT('7. Settlements'!$J$8:$J$107,7)=$A353),--('7. Settlements'!$M$8:$M$107="Tied out"))+SUMPRODUCT(--(LEFT('8. Transfers'!$H$9:$H$108,7)=$A353),--('8. Transfers'!$J$9:$J$108="Matched"))+SUMPRODUCT(--(LEFT('8. Transfers'!$I$9:$I$108,7)=$A353),--('8. Transfers'!$J$9:$J$108="Matched"))+IF($O353="",0,COUNTIFS('9. Payroll Allocation'!$B$234:$B$253,$O353,'9. Payroll Allocation'!$H$234:$H$253,"Tied out"))&gt;0,"Linked","MISSING DETAIL")))</f>
        <v/>
      </c>
      <c r="T353" s="58" t="str">
        <f t="shared" si="52"/>
        <v/>
      </c>
      <c r="U353" s="59" t="str">
        <f>IF($T353="","",COUNTIF($T$6:$T353,"?*"))</f>
        <v/>
      </c>
      <c r="V353" s="58" t="str">
        <f t="shared" si="53"/>
        <v/>
      </c>
    </row>
    <row r="354" spans="1:22" ht="12.95" customHeight="1" x14ac:dyDescent="0.25">
      <c r="A354" s="52" t="str">
        <f t="shared" si="45"/>
        <v/>
      </c>
      <c r="B354" s="37"/>
      <c r="C354" s="28"/>
      <c r="D354" s="35"/>
      <c r="E354" s="38"/>
      <c r="F354" s="38"/>
      <c r="G354" s="52" t="str">
        <f t="shared" si="46"/>
        <v/>
      </c>
      <c r="H354" s="53" t="str">
        <f t="shared" si="47"/>
        <v/>
      </c>
      <c r="I354" s="40"/>
      <c r="J354" s="54" t="str">
        <f t="shared" si="48"/>
        <v/>
      </c>
      <c r="K354" s="41" t="str">
        <f t="shared" si="49"/>
        <v/>
      </c>
      <c r="L354" s="55"/>
      <c r="M354" s="56">
        <f t="shared" si="50"/>
        <v>0</v>
      </c>
      <c r="N354" s="56">
        <f t="shared" si="51"/>
        <v>0</v>
      </c>
      <c r="O354" s="57"/>
      <c r="P354" s="40"/>
      <c r="Q354" s="52" t="str">
        <f>IF($D354="","",IF($K354&lt;&gt;"Balance Sheet / Clearing","-",IF(SUMPRODUCT(--(LEFT('7. Settlements'!$J$8:$J$107,7)=$A354),--('7. Settlements'!$M$8:$M$107="Tied out"))+SUMPRODUCT(--(LEFT('8. Transfers'!$H$9:$H$108,7)=$A354),--('8. Transfers'!$J$9:$J$108="Matched"))+SUMPRODUCT(--(LEFT('8. Transfers'!$I$9:$I$108,7)=$A354),--('8. Transfers'!$J$9:$J$108="Matched"))+IF($O354="",0,COUNTIFS('9. Payroll Allocation'!$B$234:$B$253,$O354,'9. Payroll Allocation'!$H$234:$H$253,"Tied out"))&gt;0,"Linked","MISSING DETAIL")))</f>
        <v/>
      </c>
      <c r="T354" s="58" t="str">
        <f t="shared" si="52"/>
        <v/>
      </c>
      <c r="U354" s="59" t="str">
        <f>IF($T354="","",COUNTIF($T$6:$T354,"?*"))</f>
        <v/>
      </c>
      <c r="V354" s="58" t="str">
        <f t="shared" si="53"/>
        <v/>
      </c>
    </row>
    <row r="355" spans="1:22" ht="12.95" customHeight="1" x14ac:dyDescent="0.25">
      <c r="A355" s="60" t="str">
        <f t="shared" si="45"/>
        <v/>
      </c>
      <c r="B355" s="37"/>
      <c r="C355" s="28"/>
      <c r="D355" s="35"/>
      <c r="E355" s="38"/>
      <c r="F355" s="38"/>
      <c r="G355" s="60" t="str">
        <f t="shared" si="46"/>
        <v/>
      </c>
      <c r="H355" s="61" t="str">
        <f t="shared" si="47"/>
        <v/>
      </c>
      <c r="I355" s="40"/>
      <c r="J355" s="62" t="str">
        <f t="shared" si="48"/>
        <v/>
      </c>
      <c r="K355" s="45" t="str">
        <f t="shared" si="49"/>
        <v/>
      </c>
      <c r="L355" s="55"/>
      <c r="M355" s="63">
        <f t="shared" si="50"/>
        <v>0</v>
      </c>
      <c r="N355" s="63">
        <f t="shared" si="51"/>
        <v>0</v>
      </c>
      <c r="O355" s="57"/>
      <c r="P355" s="40"/>
      <c r="Q355" s="60" t="str">
        <f>IF($D355="","",IF($K355&lt;&gt;"Balance Sheet / Clearing","-",IF(SUMPRODUCT(--(LEFT('7. Settlements'!$J$8:$J$107,7)=$A355),--('7. Settlements'!$M$8:$M$107="Tied out"))+SUMPRODUCT(--(LEFT('8. Transfers'!$H$9:$H$108,7)=$A355),--('8. Transfers'!$J$9:$J$108="Matched"))+SUMPRODUCT(--(LEFT('8. Transfers'!$I$9:$I$108,7)=$A355),--('8. Transfers'!$J$9:$J$108="Matched"))+IF($O355="",0,COUNTIFS('9. Payroll Allocation'!$B$234:$B$253,$O355,'9. Payroll Allocation'!$H$234:$H$253,"Tied out"))&gt;0,"Linked","MISSING DETAIL")))</f>
        <v/>
      </c>
      <c r="T355" s="58" t="str">
        <f t="shared" si="52"/>
        <v/>
      </c>
      <c r="U355" s="59" t="str">
        <f>IF($T355="","",COUNTIF($T$6:$T355,"?*"))</f>
        <v/>
      </c>
      <c r="V355" s="58" t="str">
        <f t="shared" si="53"/>
        <v/>
      </c>
    </row>
    <row r="356" spans="1:22" ht="12.95" customHeight="1" x14ac:dyDescent="0.25">
      <c r="A356" s="52" t="str">
        <f t="shared" si="45"/>
        <v/>
      </c>
      <c r="B356" s="37"/>
      <c r="C356" s="28"/>
      <c r="D356" s="35"/>
      <c r="E356" s="38"/>
      <c r="F356" s="38"/>
      <c r="G356" s="52" t="str">
        <f t="shared" si="46"/>
        <v/>
      </c>
      <c r="H356" s="53" t="str">
        <f t="shared" si="47"/>
        <v/>
      </c>
      <c r="I356" s="40"/>
      <c r="J356" s="54" t="str">
        <f t="shared" si="48"/>
        <v/>
      </c>
      <c r="K356" s="41" t="str">
        <f t="shared" si="49"/>
        <v/>
      </c>
      <c r="L356" s="55"/>
      <c r="M356" s="56">
        <f t="shared" si="50"/>
        <v>0</v>
      </c>
      <c r="N356" s="56">
        <f t="shared" si="51"/>
        <v>0</v>
      </c>
      <c r="O356" s="57"/>
      <c r="P356" s="40"/>
      <c r="Q356" s="52" t="str">
        <f>IF($D356="","",IF($K356&lt;&gt;"Balance Sheet / Clearing","-",IF(SUMPRODUCT(--(LEFT('7. Settlements'!$J$8:$J$107,7)=$A356),--('7. Settlements'!$M$8:$M$107="Tied out"))+SUMPRODUCT(--(LEFT('8. Transfers'!$H$9:$H$108,7)=$A356),--('8. Transfers'!$J$9:$J$108="Matched"))+SUMPRODUCT(--(LEFT('8. Transfers'!$I$9:$I$108,7)=$A356),--('8. Transfers'!$J$9:$J$108="Matched"))+IF($O356="",0,COUNTIFS('9. Payroll Allocation'!$B$234:$B$253,$O356,'9. Payroll Allocation'!$H$234:$H$253,"Tied out"))&gt;0,"Linked","MISSING DETAIL")))</f>
        <v/>
      </c>
      <c r="T356" s="58" t="str">
        <f t="shared" si="52"/>
        <v/>
      </c>
      <c r="U356" s="59" t="str">
        <f>IF($T356="","",COUNTIF($T$6:$T356,"?*"))</f>
        <v/>
      </c>
      <c r="V356" s="58" t="str">
        <f t="shared" si="53"/>
        <v/>
      </c>
    </row>
    <row r="357" spans="1:22" ht="12.95" customHeight="1" x14ac:dyDescent="0.25">
      <c r="A357" s="60" t="str">
        <f t="shared" si="45"/>
        <v/>
      </c>
      <c r="B357" s="37"/>
      <c r="C357" s="28"/>
      <c r="D357" s="35"/>
      <c r="E357" s="38"/>
      <c r="F357" s="38"/>
      <c r="G357" s="60" t="str">
        <f t="shared" si="46"/>
        <v/>
      </c>
      <c r="H357" s="61" t="str">
        <f t="shared" si="47"/>
        <v/>
      </c>
      <c r="I357" s="40"/>
      <c r="J357" s="62" t="str">
        <f t="shared" si="48"/>
        <v/>
      </c>
      <c r="K357" s="45" t="str">
        <f t="shared" si="49"/>
        <v/>
      </c>
      <c r="L357" s="55"/>
      <c r="M357" s="63">
        <f t="shared" si="50"/>
        <v>0</v>
      </c>
      <c r="N357" s="63">
        <f t="shared" si="51"/>
        <v>0</v>
      </c>
      <c r="O357" s="57"/>
      <c r="P357" s="40"/>
      <c r="Q357" s="60" t="str">
        <f>IF($D357="","",IF($K357&lt;&gt;"Balance Sheet / Clearing","-",IF(SUMPRODUCT(--(LEFT('7. Settlements'!$J$8:$J$107,7)=$A357),--('7. Settlements'!$M$8:$M$107="Tied out"))+SUMPRODUCT(--(LEFT('8. Transfers'!$H$9:$H$108,7)=$A357),--('8. Transfers'!$J$9:$J$108="Matched"))+SUMPRODUCT(--(LEFT('8. Transfers'!$I$9:$I$108,7)=$A357),--('8. Transfers'!$J$9:$J$108="Matched"))+IF($O357="",0,COUNTIFS('9. Payroll Allocation'!$B$234:$B$253,$O357,'9. Payroll Allocation'!$H$234:$H$253,"Tied out"))&gt;0,"Linked","MISSING DETAIL")))</f>
        <v/>
      </c>
      <c r="T357" s="58" t="str">
        <f t="shared" si="52"/>
        <v/>
      </c>
      <c r="U357" s="59" t="str">
        <f>IF($T357="","",COUNTIF($T$6:$T357,"?*"))</f>
        <v/>
      </c>
      <c r="V357" s="58" t="str">
        <f t="shared" si="53"/>
        <v/>
      </c>
    </row>
    <row r="358" spans="1:22" ht="12.95" customHeight="1" x14ac:dyDescent="0.25">
      <c r="A358" s="52" t="str">
        <f t="shared" si="45"/>
        <v/>
      </c>
      <c r="B358" s="37"/>
      <c r="C358" s="28"/>
      <c r="D358" s="35"/>
      <c r="E358" s="38"/>
      <c r="F358" s="38"/>
      <c r="G358" s="52" t="str">
        <f t="shared" si="46"/>
        <v/>
      </c>
      <c r="H358" s="53" t="str">
        <f t="shared" si="47"/>
        <v/>
      </c>
      <c r="I358" s="40"/>
      <c r="J358" s="54" t="str">
        <f t="shared" si="48"/>
        <v/>
      </c>
      <c r="K358" s="41" t="str">
        <f t="shared" si="49"/>
        <v/>
      </c>
      <c r="L358" s="55"/>
      <c r="M358" s="56">
        <f t="shared" si="50"/>
        <v>0</v>
      </c>
      <c r="N358" s="56">
        <f t="shared" si="51"/>
        <v>0</v>
      </c>
      <c r="O358" s="57"/>
      <c r="P358" s="40"/>
      <c r="Q358" s="52" t="str">
        <f>IF($D358="","",IF($K358&lt;&gt;"Balance Sheet / Clearing","-",IF(SUMPRODUCT(--(LEFT('7. Settlements'!$J$8:$J$107,7)=$A358),--('7. Settlements'!$M$8:$M$107="Tied out"))+SUMPRODUCT(--(LEFT('8. Transfers'!$H$9:$H$108,7)=$A358),--('8. Transfers'!$J$9:$J$108="Matched"))+SUMPRODUCT(--(LEFT('8. Transfers'!$I$9:$I$108,7)=$A358),--('8. Transfers'!$J$9:$J$108="Matched"))+IF($O358="",0,COUNTIFS('9. Payroll Allocation'!$B$234:$B$253,$O358,'9. Payroll Allocation'!$H$234:$H$253,"Tied out"))&gt;0,"Linked","MISSING DETAIL")))</f>
        <v/>
      </c>
      <c r="T358" s="58" t="str">
        <f t="shared" si="52"/>
        <v/>
      </c>
      <c r="U358" s="59" t="str">
        <f>IF($T358="","",COUNTIF($T$6:$T358,"?*"))</f>
        <v/>
      </c>
      <c r="V358" s="58" t="str">
        <f t="shared" si="53"/>
        <v/>
      </c>
    </row>
    <row r="359" spans="1:22" ht="12.95" customHeight="1" x14ac:dyDescent="0.25">
      <c r="A359" s="60" t="str">
        <f t="shared" si="45"/>
        <v/>
      </c>
      <c r="B359" s="37"/>
      <c r="C359" s="28"/>
      <c r="D359" s="35"/>
      <c r="E359" s="38"/>
      <c r="F359" s="38"/>
      <c r="G359" s="60" t="str">
        <f t="shared" si="46"/>
        <v/>
      </c>
      <c r="H359" s="61" t="str">
        <f t="shared" si="47"/>
        <v/>
      </c>
      <c r="I359" s="40"/>
      <c r="J359" s="62" t="str">
        <f t="shared" si="48"/>
        <v/>
      </c>
      <c r="K359" s="45" t="str">
        <f t="shared" si="49"/>
        <v/>
      </c>
      <c r="L359" s="55"/>
      <c r="M359" s="63">
        <f t="shared" si="50"/>
        <v>0</v>
      </c>
      <c r="N359" s="63">
        <f t="shared" si="51"/>
        <v>0</v>
      </c>
      <c r="O359" s="57"/>
      <c r="P359" s="40"/>
      <c r="Q359" s="60" t="str">
        <f>IF($D359="","",IF($K359&lt;&gt;"Balance Sheet / Clearing","-",IF(SUMPRODUCT(--(LEFT('7. Settlements'!$J$8:$J$107,7)=$A359),--('7. Settlements'!$M$8:$M$107="Tied out"))+SUMPRODUCT(--(LEFT('8. Transfers'!$H$9:$H$108,7)=$A359),--('8. Transfers'!$J$9:$J$108="Matched"))+SUMPRODUCT(--(LEFT('8. Transfers'!$I$9:$I$108,7)=$A359),--('8. Transfers'!$J$9:$J$108="Matched"))+IF($O359="",0,COUNTIFS('9. Payroll Allocation'!$B$234:$B$253,$O359,'9. Payroll Allocation'!$H$234:$H$253,"Tied out"))&gt;0,"Linked","MISSING DETAIL")))</f>
        <v/>
      </c>
      <c r="T359" s="58" t="str">
        <f t="shared" si="52"/>
        <v/>
      </c>
      <c r="U359" s="59" t="str">
        <f>IF($T359="","",COUNTIF($T$6:$T359,"?*"))</f>
        <v/>
      </c>
      <c r="V359" s="58" t="str">
        <f t="shared" si="53"/>
        <v/>
      </c>
    </row>
    <row r="360" spans="1:22" ht="12.95" customHeight="1" x14ac:dyDescent="0.25">
      <c r="A360" s="52" t="str">
        <f t="shared" si="45"/>
        <v/>
      </c>
      <c r="B360" s="37"/>
      <c r="C360" s="28"/>
      <c r="D360" s="35"/>
      <c r="E360" s="38"/>
      <c r="F360" s="38"/>
      <c r="G360" s="52" t="str">
        <f t="shared" si="46"/>
        <v/>
      </c>
      <c r="H360" s="53" t="str">
        <f t="shared" si="47"/>
        <v/>
      </c>
      <c r="I360" s="40"/>
      <c r="J360" s="54" t="str">
        <f t="shared" si="48"/>
        <v/>
      </c>
      <c r="K360" s="41" t="str">
        <f t="shared" si="49"/>
        <v/>
      </c>
      <c r="L360" s="55"/>
      <c r="M360" s="56">
        <f t="shared" si="50"/>
        <v>0</v>
      </c>
      <c r="N360" s="56">
        <f t="shared" si="51"/>
        <v>0</v>
      </c>
      <c r="O360" s="57"/>
      <c r="P360" s="40"/>
      <c r="Q360" s="52" t="str">
        <f>IF($D360="","",IF($K360&lt;&gt;"Balance Sheet / Clearing","-",IF(SUMPRODUCT(--(LEFT('7. Settlements'!$J$8:$J$107,7)=$A360),--('7. Settlements'!$M$8:$M$107="Tied out"))+SUMPRODUCT(--(LEFT('8. Transfers'!$H$9:$H$108,7)=$A360),--('8. Transfers'!$J$9:$J$108="Matched"))+SUMPRODUCT(--(LEFT('8. Transfers'!$I$9:$I$108,7)=$A360),--('8. Transfers'!$J$9:$J$108="Matched"))+IF($O360="",0,COUNTIFS('9. Payroll Allocation'!$B$234:$B$253,$O360,'9. Payroll Allocation'!$H$234:$H$253,"Tied out"))&gt;0,"Linked","MISSING DETAIL")))</f>
        <v/>
      </c>
      <c r="T360" s="58" t="str">
        <f t="shared" si="52"/>
        <v/>
      </c>
      <c r="U360" s="59" t="str">
        <f>IF($T360="","",COUNTIF($T$6:$T360,"?*"))</f>
        <v/>
      </c>
      <c r="V360" s="58" t="str">
        <f t="shared" si="53"/>
        <v/>
      </c>
    </row>
    <row r="361" spans="1:22" ht="12.95" customHeight="1" x14ac:dyDescent="0.25">
      <c r="A361" s="60" t="str">
        <f t="shared" si="45"/>
        <v/>
      </c>
      <c r="B361" s="37"/>
      <c r="C361" s="28"/>
      <c r="D361" s="35"/>
      <c r="E361" s="38"/>
      <c r="F361" s="38"/>
      <c r="G361" s="60" t="str">
        <f t="shared" si="46"/>
        <v/>
      </c>
      <c r="H361" s="61" t="str">
        <f t="shared" si="47"/>
        <v/>
      </c>
      <c r="I361" s="40"/>
      <c r="J361" s="62" t="str">
        <f t="shared" si="48"/>
        <v/>
      </c>
      <c r="K361" s="45" t="str">
        <f t="shared" si="49"/>
        <v/>
      </c>
      <c r="L361" s="55"/>
      <c r="M361" s="63">
        <f t="shared" si="50"/>
        <v>0</v>
      </c>
      <c r="N361" s="63">
        <f t="shared" si="51"/>
        <v>0</v>
      </c>
      <c r="O361" s="57"/>
      <c r="P361" s="40"/>
      <c r="Q361" s="60" t="str">
        <f>IF($D361="","",IF($K361&lt;&gt;"Balance Sheet / Clearing","-",IF(SUMPRODUCT(--(LEFT('7. Settlements'!$J$8:$J$107,7)=$A361),--('7. Settlements'!$M$8:$M$107="Tied out"))+SUMPRODUCT(--(LEFT('8. Transfers'!$H$9:$H$108,7)=$A361),--('8. Transfers'!$J$9:$J$108="Matched"))+SUMPRODUCT(--(LEFT('8. Transfers'!$I$9:$I$108,7)=$A361),--('8. Transfers'!$J$9:$J$108="Matched"))+IF($O361="",0,COUNTIFS('9. Payroll Allocation'!$B$234:$B$253,$O361,'9. Payroll Allocation'!$H$234:$H$253,"Tied out"))&gt;0,"Linked","MISSING DETAIL")))</f>
        <v/>
      </c>
      <c r="T361" s="58" t="str">
        <f t="shared" si="52"/>
        <v/>
      </c>
      <c r="U361" s="59" t="str">
        <f>IF($T361="","",COUNTIF($T$6:$T361,"?*"))</f>
        <v/>
      </c>
      <c r="V361" s="58" t="str">
        <f t="shared" si="53"/>
        <v/>
      </c>
    </row>
    <row r="362" spans="1:22" ht="12.95" customHeight="1" x14ac:dyDescent="0.25">
      <c r="A362" s="52" t="str">
        <f t="shared" si="45"/>
        <v/>
      </c>
      <c r="B362" s="37"/>
      <c r="C362" s="28"/>
      <c r="D362" s="35"/>
      <c r="E362" s="38"/>
      <c r="F362" s="38"/>
      <c r="G362" s="52" t="str">
        <f t="shared" si="46"/>
        <v/>
      </c>
      <c r="H362" s="53" t="str">
        <f t="shared" si="47"/>
        <v/>
      </c>
      <c r="I362" s="40"/>
      <c r="J362" s="54" t="str">
        <f t="shared" si="48"/>
        <v/>
      </c>
      <c r="K362" s="41" t="str">
        <f t="shared" si="49"/>
        <v/>
      </c>
      <c r="L362" s="55"/>
      <c r="M362" s="56">
        <f t="shared" si="50"/>
        <v>0</v>
      </c>
      <c r="N362" s="56">
        <f t="shared" si="51"/>
        <v>0</v>
      </c>
      <c r="O362" s="57"/>
      <c r="P362" s="40"/>
      <c r="Q362" s="52" t="str">
        <f>IF($D362="","",IF($K362&lt;&gt;"Balance Sheet / Clearing","-",IF(SUMPRODUCT(--(LEFT('7. Settlements'!$J$8:$J$107,7)=$A362),--('7. Settlements'!$M$8:$M$107="Tied out"))+SUMPRODUCT(--(LEFT('8. Transfers'!$H$9:$H$108,7)=$A362),--('8. Transfers'!$J$9:$J$108="Matched"))+SUMPRODUCT(--(LEFT('8. Transfers'!$I$9:$I$108,7)=$A362),--('8. Transfers'!$J$9:$J$108="Matched"))+IF($O362="",0,COUNTIFS('9. Payroll Allocation'!$B$234:$B$253,$O362,'9. Payroll Allocation'!$H$234:$H$253,"Tied out"))&gt;0,"Linked","MISSING DETAIL")))</f>
        <v/>
      </c>
      <c r="T362" s="58" t="str">
        <f t="shared" si="52"/>
        <v/>
      </c>
      <c r="U362" s="59" t="str">
        <f>IF($T362="","",COUNTIF($T$6:$T362,"?*"))</f>
        <v/>
      </c>
      <c r="V362" s="58" t="str">
        <f t="shared" si="53"/>
        <v/>
      </c>
    </row>
    <row r="363" spans="1:22" ht="12.95" customHeight="1" x14ac:dyDescent="0.25">
      <c r="A363" s="60" t="str">
        <f t="shared" si="45"/>
        <v/>
      </c>
      <c r="B363" s="37"/>
      <c r="C363" s="28"/>
      <c r="D363" s="35"/>
      <c r="E363" s="38"/>
      <c r="F363" s="38"/>
      <c r="G363" s="60" t="str">
        <f t="shared" si="46"/>
        <v/>
      </c>
      <c r="H363" s="61" t="str">
        <f t="shared" si="47"/>
        <v/>
      </c>
      <c r="I363" s="40"/>
      <c r="J363" s="62" t="str">
        <f t="shared" si="48"/>
        <v/>
      </c>
      <c r="K363" s="45" t="str">
        <f t="shared" si="49"/>
        <v/>
      </c>
      <c r="L363" s="55"/>
      <c r="M363" s="63">
        <f t="shared" si="50"/>
        <v>0</v>
      </c>
      <c r="N363" s="63">
        <f t="shared" si="51"/>
        <v>0</v>
      </c>
      <c r="O363" s="57"/>
      <c r="P363" s="40"/>
      <c r="Q363" s="60" t="str">
        <f>IF($D363="","",IF($K363&lt;&gt;"Balance Sheet / Clearing","-",IF(SUMPRODUCT(--(LEFT('7. Settlements'!$J$8:$J$107,7)=$A363),--('7. Settlements'!$M$8:$M$107="Tied out"))+SUMPRODUCT(--(LEFT('8. Transfers'!$H$9:$H$108,7)=$A363),--('8. Transfers'!$J$9:$J$108="Matched"))+SUMPRODUCT(--(LEFT('8. Transfers'!$I$9:$I$108,7)=$A363),--('8. Transfers'!$J$9:$J$108="Matched"))+IF($O363="",0,COUNTIFS('9. Payroll Allocation'!$B$234:$B$253,$O363,'9. Payroll Allocation'!$H$234:$H$253,"Tied out"))&gt;0,"Linked","MISSING DETAIL")))</f>
        <v/>
      </c>
      <c r="T363" s="58" t="str">
        <f t="shared" si="52"/>
        <v/>
      </c>
      <c r="U363" s="59" t="str">
        <f>IF($T363="","",COUNTIF($T$6:$T363,"?*"))</f>
        <v/>
      </c>
      <c r="V363" s="58" t="str">
        <f t="shared" si="53"/>
        <v/>
      </c>
    </row>
    <row r="364" spans="1:22" ht="12.95" customHeight="1" x14ac:dyDescent="0.25">
      <c r="A364" s="52" t="str">
        <f t="shared" si="45"/>
        <v/>
      </c>
      <c r="B364" s="37"/>
      <c r="C364" s="28"/>
      <c r="D364" s="35"/>
      <c r="E364" s="38"/>
      <c r="F364" s="38"/>
      <c r="G364" s="52" t="str">
        <f t="shared" si="46"/>
        <v/>
      </c>
      <c r="H364" s="53" t="str">
        <f t="shared" si="47"/>
        <v/>
      </c>
      <c r="I364" s="40"/>
      <c r="J364" s="54" t="str">
        <f t="shared" si="48"/>
        <v/>
      </c>
      <c r="K364" s="41" t="str">
        <f t="shared" si="49"/>
        <v/>
      </c>
      <c r="L364" s="55"/>
      <c r="M364" s="56">
        <f t="shared" si="50"/>
        <v>0</v>
      </c>
      <c r="N364" s="56">
        <f t="shared" si="51"/>
        <v>0</v>
      </c>
      <c r="O364" s="57"/>
      <c r="P364" s="40"/>
      <c r="Q364" s="52" t="str">
        <f>IF($D364="","",IF($K364&lt;&gt;"Balance Sheet / Clearing","-",IF(SUMPRODUCT(--(LEFT('7. Settlements'!$J$8:$J$107,7)=$A364),--('7. Settlements'!$M$8:$M$107="Tied out"))+SUMPRODUCT(--(LEFT('8. Transfers'!$H$9:$H$108,7)=$A364),--('8. Transfers'!$J$9:$J$108="Matched"))+SUMPRODUCT(--(LEFT('8. Transfers'!$I$9:$I$108,7)=$A364),--('8. Transfers'!$J$9:$J$108="Matched"))+IF($O364="",0,COUNTIFS('9. Payroll Allocation'!$B$234:$B$253,$O364,'9. Payroll Allocation'!$H$234:$H$253,"Tied out"))&gt;0,"Linked","MISSING DETAIL")))</f>
        <v/>
      </c>
      <c r="T364" s="58" t="str">
        <f t="shared" si="52"/>
        <v/>
      </c>
      <c r="U364" s="59" t="str">
        <f>IF($T364="","",COUNTIF($T$6:$T364,"?*"))</f>
        <v/>
      </c>
      <c r="V364" s="58" t="str">
        <f t="shared" si="53"/>
        <v/>
      </c>
    </row>
    <row r="365" spans="1:22" ht="12.95" customHeight="1" x14ac:dyDescent="0.25">
      <c r="A365" s="60" t="str">
        <f t="shared" si="45"/>
        <v/>
      </c>
      <c r="B365" s="37"/>
      <c r="C365" s="28"/>
      <c r="D365" s="35"/>
      <c r="E365" s="38"/>
      <c r="F365" s="38"/>
      <c r="G365" s="60" t="str">
        <f t="shared" si="46"/>
        <v/>
      </c>
      <c r="H365" s="61" t="str">
        <f t="shared" si="47"/>
        <v/>
      </c>
      <c r="I365" s="40"/>
      <c r="J365" s="62" t="str">
        <f t="shared" si="48"/>
        <v/>
      </c>
      <c r="K365" s="45" t="str">
        <f t="shared" si="49"/>
        <v/>
      </c>
      <c r="L365" s="55"/>
      <c r="M365" s="63">
        <f t="shared" si="50"/>
        <v>0</v>
      </c>
      <c r="N365" s="63">
        <f t="shared" si="51"/>
        <v>0</v>
      </c>
      <c r="O365" s="57"/>
      <c r="P365" s="40"/>
      <c r="Q365" s="60" t="str">
        <f>IF($D365="","",IF($K365&lt;&gt;"Balance Sheet / Clearing","-",IF(SUMPRODUCT(--(LEFT('7. Settlements'!$J$8:$J$107,7)=$A365),--('7. Settlements'!$M$8:$M$107="Tied out"))+SUMPRODUCT(--(LEFT('8. Transfers'!$H$9:$H$108,7)=$A365),--('8. Transfers'!$J$9:$J$108="Matched"))+SUMPRODUCT(--(LEFT('8. Transfers'!$I$9:$I$108,7)=$A365),--('8. Transfers'!$J$9:$J$108="Matched"))+IF($O365="",0,COUNTIFS('9. Payroll Allocation'!$B$234:$B$253,$O365,'9. Payroll Allocation'!$H$234:$H$253,"Tied out"))&gt;0,"Linked","MISSING DETAIL")))</f>
        <v/>
      </c>
      <c r="T365" s="58" t="str">
        <f t="shared" si="52"/>
        <v/>
      </c>
      <c r="U365" s="59" t="str">
        <f>IF($T365="","",COUNTIF($T$6:$T365,"?*"))</f>
        <v/>
      </c>
      <c r="V365" s="58" t="str">
        <f t="shared" si="53"/>
        <v/>
      </c>
    </row>
    <row r="366" spans="1:22" ht="12.95" customHeight="1" x14ac:dyDescent="0.25">
      <c r="A366" s="52" t="str">
        <f t="shared" si="45"/>
        <v/>
      </c>
      <c r="B366" s="37"/>
      <c r="C366" s="28"/>
      <c r="D366" s="35"/>
      <c r="E366" s="38"/>
      <c r="F366" s="38"/>
      <c r="G366" s="52" t="str">
        <f t="shared" si="46"/>
        <v/>
      </c>
      <c r="H366" s="53" t="str">
        <f t="shared" si="47"/>
        <v/>
      </c>
      <c r="I366" s="40"/>
      <c r="J366" s="54" t="str">
        <f t="shared" si="48"/>
        <v/>
      </c>
      <c r="K366" s="41" t="str">
        <f t="shared" si="49"/>
        <v/>
      </c>
      <c r="L366" s="55"/>
      <c r="M366" s="56">
        <f t="shared" si="50"/>
        <v>0</v>
      </c>
      <c r="N366" s="56">
        <f t="shared" si="51"/>
        <v>0</v>
      </c>
      <c r="O366" s="57"/>
      <c r="P366" s="40"/>
      <c r="Q366" s="52" t="str">
        <f>IF($D366="","",IF($K366&lt;&gt;"Balance Sheet / Clearing","-",IF(SUMPRODUCT(--(LEFT('7. Settlements'!$J$8:$J$107,7)=$A366),--('7. Settlements'!$M$8:$M$107="Tied out"))+SUMPRODUCT(--(LEFT('8. Transfers'!$H$9:$H$108,7)=$A366),--('8. Transfers'!$J$9:$J$108="Matched"))+SUMPRODUCT(--(LEFT('8. Transfers'!$I$9:$I$108,7)=$A366),--('8. Transfers'!$J$9:$J$108="Matched"))+IF($O366="",0,COUNTIFS('9. Payroll Allocation'!$B$234:$B$253,$O366,'9. Payroll Allocation'!$H$234:$H$253,"Tied out"))&gt;0,"Linked","MISSING DETAIL")))</f>
        <v/>
      </c>
      <c r="T366" s="58" t="str">
        <f t="shared" si="52"/>
        <v/>
      </c>
      <c r="U366" s="59" t="str">
        <f>IF($T366="","",COUNTIF($T$6:$T366,"?*"))</f>
        <v/>
      </c>
      <c r="V366" s="58" t="str">
        <f t="shared" si="53"/>
        <v/>
      </c>
    </row>
    <row r="367" spans="1:22" ht="12.95" customHeight="1" x14ac:dyDescent="0.25">
      <c r="A367" s="60" t="str">
        <f t="shared" si="45"/>
        <v/>
      </c>
      <c r="B367" s="37"/>
      <c r="C367" s="28"/>
      <c r="D367" s="35"/>
      <c r="E367" s="38"/>
      <c r="F367" s="38"/>
      <c r="G367" s="60" t="str">
        <f t="shared" si="46"/>
        <v/>
      </c>
      <c r="H367" s="61" t="str">
        <f t="shared" si="47"/>
        <v/>
      </c>
      <c r="I367" s="40"/>
      <c r="J367" s="62" t="str">
        <f t="shared" si="48"/>
        <v/>
      </c>
      <c r="K367" s="45" t="str">
        <f t="shared" si="49"/>
        <v/>
      </c>
      <c r="L367" s="55"/>
      <c r="M367" s="63">
        <f t="shared" si="50"/>
        <v>0</v>
      </c>
      <c r="N367" s="63">
        <f t="shared" si="51"/>
        <v>0</v>
      </c>
      <c r="O367" s="57"/>
      <c r="P367" s="40"/>
      <c r="Q367" s="60" t="str">
        <f>IF($D367="","",IF($K367&lt;&gt;"Balance Sheet / Clearing","-",IF(SUMPRODUCT(--(LEFT('7. Settlements'!$J$8:$J$107,7)=$A367),--('7. Settlements'!$M$8:$M$107="Tied out"))+SUMPRODUCT(--(LEFT('8. Transfers'!$H$9:$H$108,7)=$A367),--('8. Transfers'!$J$9:$J$108="Matched"))+SUMPRODUCT(--(LEFT('8. Transfers'!$I$9:$I$108,7)=$A367),--('8. Transfers'!$J$9:$J$108="Matched"))+IF($O367="",0,COUNTIFS('9. Payroll Allocation'!$B$234:$B$253,$O367,'9. Payroll Allocation'!$H$234:$H$253,"Tied out"))&gt;0,"Linked","MISSING DETAIL")))</f>
        <v/>
      </c>
      <c r="T367" s="58" t="str">
        <f t="shared" si="52"/>
        <v/>
      </c>
      <c r="U367" s="59" t="str">
        <f>IF($T367="","",COUNTIF($T$6:$T367,"?*"))</f>
        <v/>
      </c>
      <c r="V367" s="58" t="str">
        <f t="shared" si="53"/>
        <v/>
      </c>
    </row>
    <row r="368" spans="1:22" ht="12.95" customHeight="1" x14ac:dyDescent="0.25">
      <c r="A368" s="52" t="str">
        <f t="shared" si="45"/>
        <v/>
      </c>
      <c r="B368" s="37"/>
      <c r="C368" s="28"/>
      <c r="D368" s="35"/>
      <c r="E368" s="38"/>
      <c r="F368" s="38"/>
      <c r="G368" s="52" t="str">
        <f t="shared" si="46"/>
        <v/>
      </c>
      <c r="H368" s="53" t="str">
        <f t="shared" si="47"/>
        <v/>
      </c>
      <c r="I368" s="40"/>
      <c r="J368" s="54" t="str">
        <f t="shared" si="48"/>
        <v/>
      </c>
      <c r="K368" s="41" t="str">
        <f t="shared" si="49"/>
        <v/>
      </c>
      <c r="L368" s="55"/>
      <c r="M368" s="56">
        <f t="shared" si="50"/>
        <v>0</v>
      </c>
      <c r="N368" s="56">
        <f t="shared" si="51"/>
        <v>0</v>
      </c>
      <c r="O368" s="57"/>
      <c r="P368" s="40"/>
      <c r="Q368" s="52" t="str">
        <f>IF($D368="","",IF($K368&lt;&gt;"Balance Sheet / Clearing","-",IF(SUMPRODUCT(--(LEFT('7. Settlements'!$J$8:$J$107,7)=$A368),--('7. Settlements'!$M$8:$M$107="Tied out"))+SUMPRODUCT(--(LEFT('8. Transfers'!$H$9:$H$108,7)=$A368),--('8. Transfers'!$J$9:$J$108="Matched"))+SUMPRODUCT(--(LEFT('8. Transfers'!$I$9:$I$108,7)=$A368),--('8. Transfers'!$J$9:$J$108="Matched"))+IF($O368="",0,COUNTIFS('9. Payroll Allocation'!$B$234:$B$253,$O368,'9. Payroll Allocation'!$H$234:$H$253,"Tied out"))&gt;0,"Linked","MISSING DETAIL")))</f>
        <v/>
      </c>
      <c r="T368" s="58" t="str">
        <f t="shared" si="52"/>
        <v/>
      </c>
      <c r="U368" s="59" t="str">
        <f>IF($T368="","",COUNTIF($T$6:$T368,"?*"))</f>
        <v/>
      </c>
      <c r="V368" s="58" t="str">
        <f t="shared" si="53"/>
        <v/>
      </c>
    </row>
    <row r="369" spans="1:22" ht="12.95" customHeight="1" x14ac:dyDescent="0.25">
      <c r="A369" s="60" t="str">
        <f t="shared" si="45"/>
        <v/>
      </c>
      <c r="B369" s="37"/>
      <c r="C369" s="28"/>
      <c r="D369" s="35"/>
      <c r="E369" s="38"/>
      <c r="F369" s="38"/>
      <c r="G369" s="60" t="str">
        <f t="shared" si="46"/>
        <v/>
      </c>
      <c r="H369" s="61" t="str">
        <f t="shared" si="47"/>
        <v/>
      </c>
      <c r="I369" s="40"/>
      <c r="J369" s="62" t="str">
        <f t="shared" si="48"/>
        <v/>
      </c>
      <c r="K369" s="45" t="str">
        <f t="shared" si="49"/>
        <v/>
      </c>
      <c r="L369" s="55"/>
      <c r="M369" s="63">
        <f t="shared" si="50"/>
        <v>0</v>
      </c>
      <c r="N369" s="63">
        <f t="shared" si="51"/>
        <v>0</v>
      </c>
      <c r="O369" s="57"/>
      <c r="P369" s="40"/>
      <c r="Q369" s="60" t="str">
        <f>IF($D369="","",IF($K369&lt;&gt;"Balance Sheet / Clearing","-",IF(SUMPRODUCT(--(LEFT('7. Settlements'!$J$8:$J$107,7)=$A369),--('7. Settlements'!$M$8:$M$107="Tied out"))+SUMPRODUCT(--(LEFT('8. Transfers'!$H$9:$H$108,7)=$A369),--('8. Transfers'!$J$9:$J$108="Matched"))+SUMPRODUCT(--(LEFT('8. Transfers'!$I$9:$I$108,7)=$A369),--('8. Transfers'!$J$9:$J$108="Matched"))+IF($O369="",0,COUNTIFS('9. Payroll Allocation'!$B$234:$B$253,$O369,'9. Payroll Allocation'!$H$234:$H$253,"Tied out"))&gt;0,"Linked","MISSING DETAIL")))</f>
        <v/>
      </c>
      <c r="T369" s="58" t="str">
        <f t="shared" si="52"/>
        <v/>
      </c>
      <c r="U369" s="59" t="str">
        <f>IF($T369="","",COUNTIF($T$6:$T369,"?*"))</f>
        <v/>
      </c>
      <c r="V369" s="58" t="str">
        <f t="shared" si="53"/>
        <v/>
      </c>
    </row>
    <row r="370" spans="1:22" ht="12.95" customHeight="1" x14ac:dyDescent="0.25">
      <c r="A370" s="52" t="str">
        <f t="shared" si="45"/>
        <v/>
      </c>
      <c r="B370" s="37"/>
      <c r="C370" s="28"/>
      <c r="D370" s="35"/>
      <c r="E370" s="38"/>
      <c r="F370" s="38"/>
      <c r="G370" s="52" t="str">
        <f t="shared" si="46"/>
        <v/>
      </c>
      <c r="H370" s="53" t="str">
        <f t="shared" si="47"/>
        <v/>
      </c>
      <c r="I370" s="40"/>
      <c r="J370" s="54" t="str">
        <f t="shared" si="48"/>
        <v/>
      </c>
      <c r="K370" s="41" t="str">
        <f t="shared" si="49"/>
        <v/>
      </c>
      <c r="L370" s="55"/>
      <c r="M370" s="56">
        <f t="shared" si="50"/>
        <v>0</v>
      </c>
      <c r="N370" s="56">
        <f t="shared" si="51"/>
        <v>0</v>
      </c>
      <c r="O370" s="57"/>
      <c r="P370" s="40"/>
      <c r="Q370" s="52" t="str">
        <f>IF($D370="","",IF($K370&lt;&gt;"Balance Sheet / Clearing","-",IF(SUMPRODUCT(--(LEFT('7. Settlements'!$J$8:$J$107,7)=$A370),--('7. Settlements'!$M$8:$M$107="Tied out"))+SUMPRODUCT(--(LEFT('8. Transfers'!$H$9:$H$108,7)=$A370),--('8. Transfers'!$J$9:$J$108="Matched"))+SUMPRODUCT(--(LEFT('8. Transfers'!$I$9:$I$108,7)=$A370),--('8. Transfers'!$J$9:$J$108="Matched"))+IF($O370="",0,COUNTIFS('9. Payroll Allocation'!$B$234:$B$253,$O370,'9. Payroll Allocation'!$H$234:$H$253,"Tied out"))&gt;0,"Linked","MISSING DETAIL")))</f>
        <v/>
      </c>
      <c r="T370" s="58" t="str">
        <f t="shared" si="52"/>
        <v/>
      </c>
      <c r="U370" s="59" t="str">
        <f>IF($T370="","",COUNTIF($T$6:$T370,"?*"))</f>
        <v/>
      </c>
      <c r="V370" s="58" t="str">
        <f t="shared" si="53"/>
        <v/>
      </c>
    </row>
    <row r="371" spans="1:22" ht="12.95" customHeight="1" x14ac:dyDescent="0.25">
      <c r="A371" s="60" t="str">
        <f t="shared" si="45"/>
        <v/>
      </c>
      <c r="B371" s="37"/>
      <c r="C371" s="28"/>
      <c r="D371" s="35"/>
      <c r="E371" s="38"/>
      <c r="F371" s="38"/>
      <c r="G371" s="60" t="str">
        <f t="shared" si="46"/>
        <v/>
      </c>
      <c r="H371" s="61" t="str">
        <f t="shared" si="47"/>
        <v/>
      </c>
      <c r="I371" s="40"/>
      <c r="J371" s="62" t="str">
        <f t="shared" si="48"/>
        <v/>
      </c>
      <c r="K371" s="45" t="str">
        <f t="shared" si="49"/>
        <v/>
      </c>
      <c r="L371" s="55"/>
      <c r="M371" s="63">
        <f t="shared" si="50"/>
        <v>0</v>
      </c>
      <c r="N371" s="63">
        <f t="shared" si="51"/>
        <v>0</v>
      </c>
      <c r="O371" s="57"/>
      <c r="P371" s="40"/>
      <c r="Q371" s="60" t="str">
        <f>IF($D371="","",IF($K371&lt;&gt;"Balance Sheet / Clearing","-",IF(SUMPRODUCT(--(LEFT('7. Settlements'!$J$8:$J$107,7)=$A371),--('7. Settlements'!$M$8:$M$107="Tied out"))+SUMPRODUCT(--(LEFT('8. Transfers'!$H$9:$H$108,7)=$A371),--('8. Transfers'!$J$9:$J$108="Matched"))+SUMPRODUCT(--(LEFT('8. Transfers'!$I$9:$I$108,7)=$A371),--('8. Transfers'!$J$9:$J$108="Matched"))+IF($O371="",0,COUNTIFS('9. Payroll Allocation'!$B$234:$B$253,$O371,'9. Payroll Allocation'!$H$234:$H$253,"Tied out"))&gt;0,"Linked","MISSING DETAIL")))</f>
        <v/>
      </c>
      <c r="T371" s="58" t="str">
        <f t="shared" si="52"/>
        <v/>
      </c>
      <c r="U371" s="59" t="str">
        <f>IF($T371="","",COUNTIF($T$6:$T371,"?*"))</f>
        <v/>
      </c>
      <c r="V371" s="58" t="str">
        <f t="shared" si="53"/>
        <v/>
      </c>
    </row>
    <row r="372" spans="1:22" ht="12.95" customHeight="1" x14ac:dyDescent="0.25">
      <c r="A372" s="52" t="str">
        <f t="shared" si="45"/>
        <v/>
      </c>
      <c r="B372" s="37"/>
      <c r="C372" s="28"/>
      <c r="D372" s="35"/>
      <c r="E372" s="38"/>
      <c r="F372" s="38"/>
      <c r="G372" s="52" t="str">
        <f t="shared" si="46"/>
        <v/>
      </c>
      <c r="H372" s="53" t="str">
        <f t="shared" si="47"/>
        <v/>
      </c>
      <c r="I372" s="40"/>
      <c r="J372" s="54" t="str">
        <f t="shared" si="48"/>
        <v/>
      </c>
      <c r="K372" s="41" t="str">
        <f t="shared" si="49"/>
        <v/>
      </c>
      <c r="L372" s="55"/>
      <c r="M372" s="56">
        <f t="shared" si="50"/>
        <v>0</v>
      </c>
      <c r="N372" s="56">
        <f t="shared" si="51"/>
        <v>0</v>
      </c>
      <c r="O372" s="57"/>
      <c r="P372" s="40"/>
      <c r="Q372" s="52" t="str">
        <f>IF($D372="","",IF($K372&lt;&gt;"Balance Sheet / Clearing","-",IF(SUMPRODUCT(--(LEFT('7. Settlements'!$J$8:$J$107,7)=$A372),--('7. Settlements'!$M$8:$M$107="Tied out"))+SUMPRODUCT(--(LEFT('8. Transfers'!$H$9:$H$108,7)=$A372),--('8. Transfers'!$J$9:$J$108="Matched"))+SUMPRODUCT(--(LEFT('8. Transfers'!$I$9:$I$108,7)=$A372),--('8. Transfers'!$J$9:$J$108="Matched"))+IF($O372="",0,COUNTIFS('9. Payroll Allocation'!$B$234:$B$253,$O372,'9. Payroll Allocation'!$H$234:$H$253,"Tied out"))&gt;0,"Linked","MISSING DETAIL")))</f>
        <v/>
      </c>
      <c r="T372" s="58" t="str">
        <f t="shared" si="52"/>
        <v/>
      </c>
      <c r="U372" s="59" t="str">
        <f>IF($T372="","",COUNTIF($T$6:$T372,"?*"))</f>
        <v/>
      </c>
      <c r="V372" s="58" t="str">
        <f t="shared" si="53"/>
        <v/>
      </c>
    </row>
    <row r="373" spans="1:22" ht="12.95" customHeight="1" x14ac:dyDescent="0.25">
      <c r="A373" s="60" t="str">
        <f t="shared" si="45"/>
        <v/>
      </c>
      <c r="B373" s="37"/>
      <c r="C373" s="28"/>
      <c r="D373" s="35"/>
      <c r="E373" s="38"/>
      <c r="F373" s="38"/>
      <c r="G373" s="60" t="str">
        <f t="shared" si="46"/>
        <v/>
      </c>
      <c r="H373" s="61" t="str">
        <f t="shared" si="47"/>
        <v/>
      </c>
      <c r="I373" s="40"/>
      <c r="J373" s="62" t="str">
        <f t="shared" si="48"/>
        <v/>
      </c>
      <c r="K373" s="45" t="str">
        <f t="shared" si="49"/>
        <v/>
      </c>
      <c r="L373" s="55"/>
      <c r="M373" s="63">
        <f t="shared" si="50"/>
        <v>0</v>
      </c>
      <c r="N373" s="63">
        <f t="shared" si="51"/>
        <v>0</v>
      </c>
      <c r="O373" s="57"/>
      <c r="P373" s="40"/>
      <c r="Q373" s="60" t="str">
        <f>IF($D373="","",IF($K373&lt;&gt;"Balance Sheet / Clearing","-",IF(SUMPRODUCT(--(LEFT('7. Settlements'!$J$8:$J$107,7)=$A373),--('7. Settlements'!$M$8:$M$107="Tied out"))+SUMPRODUCT(--(LEFT('8. Transfers'!$H$9:$H$108,7)=$A373),--('8. Transfers'!$J$9:$J$108="Matched"))+SUMPRODUCT(--(LEFT('8. Transfers'!$I$9:$I$108,7)=$A373),--('8. Transfers'!$J$9:$J$108="Matched"))+IF($O373="",0,COUNTIFS('9. Payroll Allocation'!$B$234:$B$253,$O373,'9. Payroll Allocation'!$H$234:$H$253,"Tied out"))&gt;0,"Linked","MISSING DETAIL")))</f>
        <v/>
      </c>
      <c r="T373" s="58" t="str">
        <f t="shared" si="52"/>
        <v/>
      </c>
      <c r="U373" s="59" t="str">
        <f>IF($T373="","",COUNTIF($T$6:$T373,"?*"))</f>
        <v/>
      </c>
      <c r="V373" s="58" t="str">
        <f t="shared" si="53"/>
        <v/>
      </c>
    </row>
    <row r="374" spans="1:22" ht="12.95" customHeight="1" x14ac:dyDescent="0.25">
      <c r="A374" s="52" t="str">
        <f t="shared" si="45"/>
        <v/>
      </c>
      <c r="B374" s="37"/>
      <c r="C374" s="28"/>
      <c r="D374" s="35"/>
      <c r="E374" s="38"/>
      <c r="F374" s="38"/>
      <c r="G374" s="52" t="str">
        <f t="shared" si="46"/>
        <v/>
      </c>
      <c r="H374" s="53" t="str">
        <f t="shared" si="47"/>
        <v/>
      </c>
      <c r="I374" s="40"/>
      <c r="J374" s="54" t="str">
        <f t="shared" si="48"/>
        <v/>
      </c>
      <c r="K374" s="41" t="str">
        <f t="shared" si="49"/>
        <v/>
      </c>
      <c r="L374" s="55"/>
      <c r="M374" s="56">
        <f t="shared" si="50"/>
        <v>0</v>
      </c>
      <c r="N374" s="56">
        <f t="shared" si="51"/>
        <v>0</v>
      </c>
      <c r="O374" s="57"/>
      <c r="P374" s="40"/>
      <c r="Q374" s="52" t="str">
        <f>IF($D374="","",IF($K374&lt;&gt;"Balance Sheet / Clearing","-",IF(SUMPRODUCT(--(LEFT('7. Settlements'!$J$8:$J$107,7)=$A374),--('7. Settlements'!$M$8:$M$107="Tied out"))+SUMPRODUCT(--(LEFT('8. Transfers'!$H$9:$H$108,7)=$A374),--('8. Transfers'!$J$9:$J$108="Matched"))+SUMPRODUCT(--(LEFT('8. Transfers'!$I$9:$I$108,7)=$A374),--('8. Transfers'!$J$9:$J$108="Matched"))+IF($O374="",0,COUNTIFS('9. Payroll Allocation'!$B$234:$B$253,$O374,'9. Payroll Allocation'!$H$234:$H$253,"Tied out"))&gt;0,"Linked","MISSING DETAIL")))</f>
        <v/>
      </c>
      <c r="T374" s="58" t="str">
        <f t="shared" si="52"/>
        <v/>
      </c>
      <c r="U374" s="59" t="str">
        <f>IF($T374="","",COUNTIF($T$6:$T374,"?*"))</f>
        <v/>
      </c>
      <c r="V374" s="58" t="str">
        <f t="shared" si="53"/>
        <v/>
      </c>
    </row>
    <row r="375" spans="1:22" ht="12.95" customHeight="1" x14ac:dyDescent="0.25">
      <c r="A375" s="60" t="str">
        <f t="shared" si="45"/>
        <v/>
      </c>
      <c r="B375" s="37"/>
      <c r="C375" s="28"/>
      <c r="D375" s="35"/>
      <c r="E375" s="38"/>
      <c r="F375" s="38"/>
      <c r="G375" s="60" t="str">
        <f t="shared" si="46"/>
        <v/>
      </c>
      <c r="H375" s="61" t="str">
        <f t="shared" si="47"/>
        <v/>
      </c>
      <c r="I375" s="40"/>
      <c r="J375" s="62" t="str">
        <f t="shared" si="48"/>
        <v/>
      </c>
      <c r="K375" s="45" t="str">
        <f t="shared" si="49"/>
        <v/>
      </c>
      <c r="L375" s="55"/>
      <c r="M375" s="63">
        <f t="shared" si="50"/>
        <v>0</v>
      </c>
      <c r="N375" s="63">
        <f t="shared" si="51"/>
        <v>0</v>
      </c>
      <c r="O375" s="57"/>
      <c r="P375" s="40"/>
      <c r="Q375" s="60" t="str">
        <f>IF($D375="","",IF($K375&lt;&gt;"Balance Sheet / Clearing","-",IF(SUMPRODUCT(--(LEFT('7. Settlements'!$J$8:$J$107,7)=$A375),--('7. Settlements'!$M$8:$M$107="Tied out"))+SUMPRODUCT(--(LEFT('8. Transfers'!$H$9:$H$108,7)=$A375),--('8. Transfers'!$J$9:$J$108="Matched"))+SUMPRODUCT(--(LEFT('8. Transfers'!$I$9:$I$108,7)=$A375),--('8. Transfers'!$J$9:$J$108="Matched"))+IF($O375="",0,COUNTIFS('9. Payroll Allocation'!$B$234:$B$253,$O375,'9. Payroll Allocation'!$H$234:$H$253,"Tied out"))&gt;0,"Linked","MISSING DETAIL")))</f>
        <v/>
      </c>
      <c r="T375" s="58" t="str">
        <f t="shared" si="52"/>
        <v/>
      </c>
      <c r="U375" s="59" t="str">
        <f>IF($T375="","",COUNTIF($T$6:$T375,"?*"))</f>
        <v/>
      </c>
      <c r="V375" s="58" t="str">
        <f t="shared" si="53"/>
        <v/>
      </c>
    </row>
    <row r="376" spans="1:22" ht="12.95" customHeight="1" x14ac:dyDescent="0.25">
      <c r="A376" s="52" t="str">
        <f t="shared" si="45"/>
        <v/>
      </c>
      <c r="B376" s="37"/>
      <c r="C376" s="28"/>
      <c r="D376" s="35"/>
      <c r="E376" s="38"/>
      <c r="F376" s="38"/>
      <c r="G376" s="52" t="str">
        <f t="shared" si="46"/>
        <v/>
      </c>
      <c r="H376" s="53" t="str">
        <f t="shared" si="47"/>
        <v/>
      </c>
      <c r="I376" s="40"/>
      <c r="J376" s="54" t="str">
        <f t="shared" si="48"/>
        <v/>
      </c>
      <c r="K376" s="41" t="str">
        <f t="shared" si="49"/>
        <v/>
      </c>
      <c r="L376" s="55"/>
      <c r="M376" s="56">
        <f t="shared" si="50"/>
        <v>0</v>
      </c>
      <c r="N376" s="56">
        <f t="shared" si="51"/>
        <v>0</v>
      </c>
      <c r="O376" s="57"/>
      <c r="P376" s="40"/>
      <c r="Q376" s="52" t="str">
        <f>IF($D376="","",IF($K376&lt;&gt;"Balance Sheet / Clearing","-",IF(SUMPRODUCT(--(LEFT('7. Settlements'!$J$8:$J$107,7)=$A376),--('7. Settlements'!$M$8:$M$107="Tied out"))+SUMPRODUCT(--(LEFT('8. Transfers'!$H$9:$H$108,7)=$A376),--('8. Transfers'!$J$9:$J$108="Matched"))+SUMPRODUCT(--(LEFT('8. Transfers'!$I$9:$I$108,7)=$A376),--('8. Transfers'!$J$9:$J$108="Matched"))+IF($O376="",0,COUNTIFS('9. Payroll Allocation'!$B$234:$B$253,$O376,'9. Payroll Allocation'!$H$234:$H$253,"Tied out"))&gt;0,"Linked","MISSING DETAIL")))</f>
        <v/>
      </c>
      <c r="T376" s="58" t="str">
        <f t="shared" si="52"/>
        <v/>
      </c>
      <c r="U376" s="59" t="str">
        <f>IF($T376="","",COUNTIF($T$6:$T376,"?*"))</f>
        <v/>
      </c>
      <c r="V376" s="58" t="str">
        <f t="shared" si="53"/>
        <v/>
      </c>
    </row>
    <row r="377" spans="1:22" ht="12.95" customHeight="1" x14ac:dyDescent="0.25">
      <c r="A377" s="60" t="str">
        <f t="shared" si="45"/>
        <v/>
      </c>
      <c r="B377" s="37"/>
      <c r="C377" s="28"/>
      <c r="D377" s="35"/>
      <c r="E377" s="38"/>
      <c r="F377" s="38"/>
      <c r="G377" s="60" t="str">
        <f t="shared" si="46"/>
        <v/>
      </c>
      <c r="H377" s="61" t="str">
        <f t="shared" si="47"/>
        <v/>
      </c>
      <c r="I377" s="40"/>
      <c r="J377" s="62" t="str">
        <f t="shared" si="48"/>
        <v/>
      </c>
      <c r="K377" s="45" t="str">
        <f t="shared" si="49"/>
        <v/>
      </c>
      <c r="L377" s="55"/>
      <c r="M377" s="63">
        <f t="shared" si="50"/>
        <v>0</v>
      </c>
      <c r="N377" s="63">
        <f t="shared" si="51"/>
        <v>0</v>
      </c>
      <c r="O377" s="57"/>
      <c r="P377" s="40"/>
      <c r="Q377" s="60" t="str">
        <f>IF($D377="","",IF($K377&lt;&gt;"Balance Sheet / Clearing","-",IF(SUMPRODUCT(--(LEFT('7. Settlements'!$J$8:$J$107,7)=$A377),--('7. Settlements'!$M$8:$M$107="Tied out"))+SUMPRODUCT(--(LEFT('8. Transfers'!$H$9:$H$108,7)=$A377),--('8. Transfers'!$J$9:$J$108="Matched"))+SUMPRODUCT(--(LEFT('8. Transfers'!$I$9:$I$108,7)=$A377),--('8. Transfers'!$J$9:$J$108="Matched"))+IF($O377="",0,COUNTIFS('9. Payroll Allocation'!$B$234:$B$253,$O377,'9. Payroll Allocation'!$H$234:$H$253,"Tied out"))&gt;0,"Linked","MISSING DETAIL")))</f>
        <v/>
      </c>
      <c r="T377" s="58" t="str">
        <f t="shared" si="52"/>
        <v/>
      </c>
      <c r="U377" s="59" t="str">
        <f>IF($T377="","",COUNTIF($T$6:$T377,"?*"))</f>
        <v/>
      </c>
      <c r="V377" s="58" t="str">
        <f t="shared" si="53"/>
        <v/>
      </c>
    </row>
    <row r="378" spans="1:22" ht="12.95" customHeight="1" x14ac:dyDescent="0.25">
      <c r="A378" s="52" t="str">
        <f t="shared" si="45"/>
        <v/>
      </c>
      <c r="B378" s="37"/>
      <c r="C378" s="28"/>
      <c r="D378" s="35"/>
      <c r="E378" s="38"/>
      <c r="F378" s="38"/>
      <c r="G378" s="52" t="str">
        <f t="shared" si="46"/>
        <v/>
      </c>
      <c r="H378" s="53" t="str">
        <f t="shared" si="47"/>
        <v/>
      </c>
      <c r="I378" s="40"/>
      <c r="J378" s="54" t="str">
        <f t="shared" si="48"/>
        <v/>
      </c>
      <c r="K378" s="41" t="str">
        <f t="shared" si="49"/>
        <v/>
      </c>
      <c r="L378" s="55"/>
      <c r="M378" s="56">
        <f t="shared" si="50"/>
        <v>0</v>
      </c>
      <c r="N378" s="56">
        <f t="shared" si="51"/>
        <v>0</v>
      </c>
      <c r="O378" s="57"/>
      <c r="P378" s="40"/>
      <c r="Q378" s="52" t="str">
        <f>IF($D378="","",IF($K378&lt;&gt;"Balance Sheet / Clearing","-",IF(SUMPRODUCT(--(LEFT('7. Settlements'!$J$8:$J$107,7)=$A378),--('7. Settlements'!$M$8:$M$107="Tied out"))+SUMPRODUCT(--(LEFT('8. Transfers'!$H$9:$H$108,7)=$A378),--('8. Transfers'!$J$9:$J$108="Matched"))+SUMPRODUCT(--(LEFT('8. Transfers'!$I$9:$I$108,7)=$A378),--('8. Transfers'!$J$9:$J$108="Matched"))+IF($O378="",0,COUNTIFS('9. Payroll Allocation'!$B$234:$B$253,$O378,'9. Payroll Allocation'!$H$234:$H$253,"Tied out"))&gt;0,"Linked","MISSING DETAIL")))</f>
        <v/>
      </c>
      <c r="T378" s="58" t="str">
        <f t="shared" si="52"/>
        <v/>
      </c>
      <c r="U378" s="59" t="str">
        <f>IF($T378="","",COUNTIF($T$6:$T378,"?*"))</f>
        <v/>
      </c>
      <c r="V378" s="58" t="str">
        <f t="shared" si="53"/>
        <v/>
      </c>
    </row>
    <row r="379" spans="1:22" ht="12.95" customHeight="1" x14ac:dyDescent="0.25">
      <c r="A379" s="60" t="str">
        <f t="shared" si="45"/>
        <v/>
      </c>
      <c r="B379" s="37"/>
      <c r="C379" s="28"/>
      <c r="D379" s="35"/>
      <c r="E379" s="38"/>
      <c r="F379" s="38"/>
      <c r="G379" s="60" t="str">
        <f t="shared" si="46"/>
        <v/>
      </c>
      <c r="H379" s="61" t="str">
        <f t="shared" si="47"/>
        <v/>
      </c>
      <c r="I379" s="40"/>
      <c r="J379" s="62" t="str">
        <f t="shared" si="48"/>
        <v/>
      </c>
      <c r="K379" s="45" t="str">
        <f t="shared" si="49"/>
        <v/>
      </c>
      <c r="L379" s="55"/>
      <c r="M379" s="63">
        <f t="shared" si="50"/>
        <v>0</v>
      </c>
      <c r="N379" s="63">
        <f t="shared" si="51"/>
        <v>0</v>
      </c>
      <c r="O379" s="57"/>
      <c r="P379" s="40"/>
      <c r="Q379" s="60" t="str">
        <f>IF($D379="","",IF($K379&lt;&gt;"Balance Sheet / Clearing","-",IF(SUMPRODUCT(--(LEFT('7. Settlements'!$J$8:$J$107,7)=$A379),--('7. Settlements'!$M$8:$M$107="Tied out"))+SUMPRODUCT(--(LEFT('8. Transfers'!$H$9:$H$108,7)=$A379),--('8. Transfers'!$J$9:$J$108="Matched"))+SUMPRODUCT(--(LEFT('8. Transfers'!$I$9:$I$108,7)=$A379),--('8. Transfers'!$J$9:$J$108="Matched"))+IF($O379="",0,COUNTIFS('9. Payroll Allocation'!$B$234:$B$253,$O379,'9. Payroll Allocation'!$H$234:$H$253,"Tied out"))&gt;0,"Linked","MISSING DETAIL")))</f>
        <v/>
      </c>
      <c r="T379" s="58" t="str">
        <f t="shared" si="52"/>
        <v/>
      </c>
      <c r="U379" s="59" t="str">
        <f>IF($T379="","",COUNTIF($T$6:$T379,"?*"))</f>
        <v/>
      </c>
      <c r="V379" s="58" t="str">
        <f t="shared" si="53"/>
        <v/>
      </c>
    </row>
    <row r="380" spans="1:22" ht="12.95" customHeight="1" x14ac:dyDescent="0.25">
      <c r="A380" s="52" t="str">
        <f t="shared" si="45"/>
        <v/>
      </c>
      <c r="B380" s="37"/>
      <c r="C380" s="28"/>
      <c r="D380" s="35"/>
      <c r="E380" s="38"/>
      <c r="F380" s="38"/>
      <c r="G380" s="52" t="str">
        <f t="shared" si="46"/>
        <v/>
      </c>
      <c r="H380" s="53" t="str">
        <f t="shared" si="47"/>
        <v/>
      </c>
      <c r="I380" s="40"/>
      <c r="J380" s="54" t="str">
        <f t="shared" si="48"/>
        <v/>
      </c>
      <c r="K380" s="41" t="str">
        <f t="shared" si="49"/>
        <v/>
      </c>
      <c r="L380" s="55"/>
      <c r="M380" s="56">
        <f t="shared" si="50"/>
        <v>0</v>
      </c>
      <c r="N380" s="56">
        <f t="shared" si="51"/>
        <v>0</v>
      </c>
      <c r="O380" s="57"/>
      <c r="P380" s="40"/>
      <c r="Q380" s="52" t="str">
        <f>IF($D380="","",IF($K380&lt;&gt;"Balance Sheet / Clearing","-",IF(SUMPRODUCT(--(LEFT('7. Settlements'!$J$8:$J$107,7)=$A380),--('7. Settlements'!$M$8:$M$107="Tied out"))+SUMPRODUCT(--(LEFT('8. Transfers'!$H$9:$H$108,7)=$A380),--('8. Transfers'!$J$9:$J$108="Matched"))+SUMPRODUCT(--(LEFT('8. Transfers'!$I$9:$I$108,7)=$A380),--('8. Transfers'!$J$9:$J$108="Matched"))+IF($O380="",0,COUNTIFS('9. Payroll Allocation'!$B$234:$B$253,$O380,'9. Payroll Allocation'!$H$234:$H$253,"Tied out"))&gt;0,"Linked","MISSING DETAIL")))</f>
        <v/>
      </c>
      <c r="T380" s="58" t="str">
        <f t="shared" si="52"/>
        <v/>
      </c>
      <c r="U380" s="59" t="str">
        <f>IF($T380="","",COUNTIF($T$6:$T380,"?*"))</f>
        <v/>
      </c>
      <c r="V380" s="58" t="str">
        <f t="shared" si="53"/>
        <v/>
      </c>
    </row>
    <row r="381" spans="1:22" ht="12.95" customHeight="1" x14ac:dyDescent="0.25">
      <c r="A381" s="60" t="str">
        <f t="shared" si="45"/>
        <v/>
      </c>
      <c r="B381" s="37"/>
      <c r="C381" s="28"/>
      <c r="D381" s="35"/>
      <c r="E381" s="38"/>
      <c r="F381" s="38"/>
      <c r="G381" s="60" t="str">
        <f t="shared" si="46"/>
        <v/>
      </c>
      <c r="H381" s="61" t="str">
        <f t="shared" si="47"/>
        <v/>
      </c>
      <c r="I381" s="40"/>
      <c r="J381" s="62" t="str">
        <f t="shared" si="48"/>
        <v/>
      </c>
      <c r="K381" s="45" t="str">
        <f t="shared" si="49"/>
        <v/>
      </c>
      <c r="L381" s="55"/>
      <c r="M381" s="63">
        <f t="shared" si="50"/>
        <v>0</v>
      </c>
      <c r="N381" s="63">
        <f t="shared" si="51"/>
        <v>0</v>
      </c>
      <c r="O381" s="57"/>
      <c r="P381" s="40"/>
      <c r="Q381" s="60" t="str">
        <f>IF($D381="","",IF($K381&lt;&gt;"Balance Sheet / Clearing","-",IF(SUMPRODUCT(--(LEFT('7. Settlements'!$J$8:$J$107,7)=$A381),--('7. Settlements'!$M$8:$M$107="Tied out"))+SUMPRODUCT(--(LEFT('8. Transfers'!$H$9:$H$108,7)=$A381),--('8. Transfers'!$J$9:$J$108="Matched"))+SUMPRODUCT(--(LEFT('8. Transfers'!$I$9:$I$108,7)=$A381),--('8. Transfers'!$J$9:$J$108="Matched"))+IF($O381="",0,COUNTIFS('9. Payroll Allocation'!$B$234:$B$253,$O381,'9. Payroll Allocation'!$H$234:$H$253,"Tied out"))&gt;0,"Linked","MISSING DETAIL")))</f>
        <v/>
      </c>
      <c r="T381" s="58" t="str">
        <f t="shared" si="52"/>
        <v/>
      </c>
      <c r="U381" s="59" t="str">
        <f>IF($T381="","",COUNTIF($T$6:$T381,"?*"))</f>
        <v/>
      </c>
      <c r="V381" s="58" t="str">
        <f t="shared" si="53"/>
        <v/>
      </c>
    </row>
    <row r="382" spans="1:22" ht="12.95" customHeight="1" x14ac:dyDescent="0.25">
      <c r="A382" s="52" t="str">
        <f t="shared" si="45"/>
        <v/>
      </c>
      <c r="B382" s="37"/>
      <c r="C382" s="28"/>
      <c r="D382" s="35"/>
      <c r="E382" s="38"/>
      <c r="F382" s="38"/>
      <c r="G382" s="52" t="str">
        <f t="shared" si="46"/>
        <v/>
      </c>
      <c r="H382" s="53" t="str">
        <f t="shared" si="47"/>
        <v/>
      </c>
      <c r="I382" s="40"/>
      <c r="J382" s="54" t="str">
        <f t="shared" si="48"/>
        <v/>
      </c>
      <c r="K382" s="41" t="str">
        <f t="shared" si="49"/>
        <v/>
      </c>
      <c r="L382" s="55"/>
      <c r="M382" s="56">
        <f t="shared" si="50"/>
        <v>0</v>
      </c>
      <c r="N382" s="56">
        <f t="shared" si="51"/>
        <v>0</v>
      </c>
      <c r="O382" s="57"/>
      <c r="P382" s="40"/>
      <c r="Q382" s="52" t="str">
        <f>IF($D382="","",IF($K382&lt;&gt;"Balance Sheet / Clearing","-",IF(SUMPRODUCT(--(LEFT('7. Settlements'!$J$8:$J$107,7)=$A382),--('7. Settlements'!$M$8:$M$107="Tied out"))+SUMPRODUCT(--(LEFT('8. Transfers'!$H$9:$H$108,7)=$A382),--('8. Transfers'!$J$9:$J$108="Matched"))+SUMPRODUCT(--(LEFT('8. Transfers'!$I$9:$I$108,7)=$A382),--('8. Transfers'!$J$9:$J$108="Matched"))+IF($O382="",0,COUNTIFS('9. Payroll Allocation'!$B$234:$B$253,$O382,'9. Payroll Allocation'!$H$234:$H$253,"Tied out"))&gt;0,"Linked","MISSING DETAIL")))</f>
        <v/>
      </c>
      <c r="T382" s="58" t="str">
        <f t="shared" si="52"/>
        <v/>
      </c>
      <c r="U382" s="59" t="str">
        <f>IF($T382="","",COUNTIF($T$6:$T382,"?*"))</f>
        <v/>
      </c>
      <c r="V382" s="58" t="str">
        <f t="shared" si="53"/>
        <v/>
      </c>
    </row>
    <row r="383" spans="1:22" ht="12.95" customHeight="1" x14ac:dyDescent="0.25">
      <c r="A383" s="60" t="str">
        <f t="shared" si="45"/>
        <v/>
      </c>
      <c r="B383" s="37"/>
      <c r="C383" s="28"/>
      <c r="D383" s="35"/>
      <c r="E383" s="38"/>
      <c r="F383" s="38"/>
      <c r="G383" s="60" t="str">
        <f t="shared" si="46"/>
        <v/>
      </c>
      <c r="H383" s="61" t="str">
        <f t="shared" si="47"/>
        <v/>
      </c>
      <c r="I383" s="40"/>
      <c r="J383" s="62" t="str">
        <f t="shared" si="48"/>
        <v/>
      </c>
      <c r="K383" s="45" t="str">
        <f t="shared" si="49"/>
        <v/>
      </c>
      <c r="L383" s="55"/>
      <c r="M383" s="63">
        <f t="shared" si="50"/>
        <v>0</v>
      </c>
      <c r="N383" s="63">
        <f t="shared" si="51"/>
        <v>0</v>
      </c>
      <c r="O383" s="57"/>
      <c r="P383" s="40"/>
      <c r="Q383" s="60" t="str">
        <f>IF($D383="","",IF($K383&lt;&gt;"Balance Sheet / Clearing","-",IF(SUMPRODUCT(--(LEFT('7. Settlements'!$J$8:$J$107,7)=$A383),--('7. Settlements'!$M$8:$M$107="Tied out"))+SUMPRODUCT(--(LEFT('8. Transfers'!$H$9:$H$108,7)=$A383),--('8. Transfers'!$J$9:$J$108="Matched"))+SUMPRODUCT(--(LEFT('8. Transfers'!$I$9:$I$108,7)=$A383),--('8. Transfers'!$J$9:$J$108="Matched"))+IF($O383="",0,COUNTIFS('9. Payroll Allocation'!$B$234:$B$253,$O383,'9. Payroll Allocation'!$H$234:$H$253,"Tied out"))&gt;0,"Linked","MISSING DETAIL")))</f>
        <v/>
      </c>
      <c r="T383" s="58" t="str">
        <f t="shared" si="52"/>
        <v/>
      </c>
      <c r="U383" s="59" t="str">
        <f>IF($T383="","",COUNTIF($T$6:$T383,"?*"))</f>
        <v/>
      </c>
      <c r="V383" s="58" t="str">
        <f t="shared" si="53"/>
        <v/>
      </c>
    </row>
    <row r="384" spans="1:22" ht="12.95" customHeight="1" x14ac:dyDescent="0.25">
      <c r="A384" s="52" t="str">
        <f t="shared" si="45"/>
        <v/>
      </c>
      <c r="B384" s="37"/>
      <c r="C384" s="28"/>
      <c r="D384" s="35"/>
      <c r="E384" s="38"/>
      <c r="F384" s="38"/>
      <c r="G384" s="52" t="str">
        <f t="shared" si="46"/>
        <v/>
      </c>
      <c r="H384" s="53" t="str">
        <f t="shared" si="47"/>
        <v/>
      </c>
      <c r="I384" s="40"/>
      <c r="J384" s="54" t="str">
        <f t="shared" si="48"/>
        <v/>
      </c>
      <c r="K384" s="41" t="str">
        <f t="shared" si="49"/>
        <v/>
      </c>
      <c r="L384" s="55"/>
      <c r="M384" s="56">
        <f t="shared" si="50"/>
        <v>0</v>
      </c>
      <c r="N384" s="56">
        <f t="shared" si="51"/>
        <v>0</v>
      </c>
      <c r="O384" s="57"/>
      <c r="P384" s="40"/>
      <c r="Q384" s="52" t="str">
        <f>IF($D384="","",IF($K384&lt;&gt;"Balance Sheet / Clearing","-",IF(SUMPRODUCT(--(LEFT('7. Settlements'!$J$8:$J$107,7)=$A384),--('7. Settlements'!$M$8:$M$107="Tied out"))+SUMPRODUCT(--(LEFT('8. Transfers'!$H$9:$H$108,7)=$A384),--('8. Transfers'!$J$9:$J$108="Matched"))+SUMPRODUCT(--(LEFT('8. Transfers'!$I$9:$I$108,7)=$A384),--('8. Transfers'!$J$9:$J$108="Matched"))+IF($O384="",0,COUNTIFS('9. Payroll Allocation'!$B$234:$B$253,$O384,'9. Payroll Allocation'!$H$234:$H$253,"Tied out"))&gt;0,"Linked","MISSING DETAIL")))</f>
        <v/>
      </c>
      <c r="T384" s="58" t="str">
        <f t="shared" si="52"/>
        <v/>
      </c>
      <c r="U384" s="59" t="str">
        <f>IF($T384="","",COUNTIF($T$6:$T384,"?*"))</f>
        <v/>
      </c>
      <c r="V384" s="58" t="str">
        <f t="shared" si="53"/>
        <v/>
      </c>
    </row>
    <row r="385" spans="1:22" ht="12.95" customHeight="1" x14ac:dyDescent="0.25">
      <c r="A385" s="60" t="str">
        <f t="shared" si="45"/>
        <v/>
      </c>
      <c r="B385" s="37"/>
      <c r="C385" s="28"/>
      <c r="D385" s="35"/>
      <c r="E385" s="38"/>
      <c r="F385" s="38"/>
      <c r="G385" s="60" t="str">
        <f t="shared" si="46"/>
        <v/>
      </c>
      <c r="H385" s="61" t="str">
        <f t="shared" si="47"/>
        <v/>
      </c>
      <c r="I385" s="40"/>
      <c r="J385" s="62" t="str">
        <f t="shared" si="48"/>
        <v/>
      </c>
      <c r="K385" s="45" t="str">
        <f t="shared" si="49"/>
        <v/>
      </c>
      <c r="L385" s="55"/>
      <c r="M385" s="63">
        <f t="shared" si="50"/>
        <v>0</v>
      </c>
      <c r="N385" s="63">
        <f t="shared" si="51"/>
        <v>0</v>
      </c>
      <c r="O385" s="57"/>
      <c r="P385" s="40"/>
      <c r="Q385" s="60" t="str">
        <f>IF($D385="","",IF($K385&lt;&gt;"Balance Sheet / Clearing","-",IF(SUMPRODUCT(--(LEFT('7. Settlements'!$J$8:$J$107,7)=$A385),--('7. Settlements'!$M$8:$M$107="Tied out"))+SUMPRODUCT(--(LEFT('8. Transfers'!$H$9:$H$108,7)=$A385),--('8. Transfers'!$J$9:$J$108="Matched"))+SUMPRODUCT(--(LEFT('8. Transfers'!$I$9:$I$108,7)=$A385),--('8. Transfers'!$J$9:$J$108="Matched"))+IF($O385="",0,COUNTIFS('9. Payroll Allocation'!$B$234:$B$253,$O385,'9. Payroll Allocation'!$H$234:$H$253,"Tied out"))&gt;0,"Linked","MISSING DETAIL")))</f>
        <v/>
      </c>
      <c r="T385" s="58" t="str">
        <f t="shared" si="52"/>
        <v/>
      </c>
      <c r="U385" s="59" t="str">
        <f>IF($T385="","",COUNTIF($T$6:$T385,"?*"))</f>
        <v/>
      </c>
      <c r="V385" s="58" t="str">
        <f t="shared" si="53"/>
        <v/>
      </c>
    </row>
    <row r="386" spans="1:22" ht="12.95" customHeight="1" x14ac:dyDescent="0.25">
      <c r="A386" s="52" t="str">
        <f t="shared" si="45"/>
        <v/>
      </c>
      <c r="B386" s="37"/>
      <c r="C386" s="28"/>
      <c r="D386" s="35"/>
      <c r="E386" s="38"/>
      <c r="F386" s="38"/>
      <c r="G386" s="52" t="str">
        <f t="shared" si="46"/>
        <v/>
      </c>
      <c r="H386" s="53" t="str">
        <f t="shared" si="47"/>
        <v/>
      </c>
      <c r="I386" s="40"/>
      <c r="J386" s="54" t="str">
        <f t="shared" si="48"/>
        <v/>
      </c>
      <c r="K386" s="41" t="str">
        <f t="shared" si="49"/>
        <v/>
      </c>
      <c r="L386" s="55"/>
      <c r="M386" s="56">
        <f t="shared" si="50"/>
        <v>0</v>
      </c>
      <c r="N386" s="56">
        <f t="shared" si="51"/>
        <v>0</v>
      </c>
      <c r="O386" s="57"/>
      <c r="P386" s="40"/>
      <c r="Q386" s="52" t="str">
        <f>IF($D386="","",IF($K386&lt;&gt;"Balance Sheet / Clearing","-",IF(SUMPRODUCT(--(LEFT('7. Settlements'!$J$8:$J$107,7)=$A386),--('7. Settlements'!$M$8:$M$107="Tied out"))+SUMPRODUCT(--(LEFT('8. Transfers'!$H$9:$H$108,7)=$A386),--('8. Transfers'!$J$9:$J$108="Matched"))+SUMPRODUCT(--(LEFT('8. Transfers'!$I$9:$I$108,7)=$A386),--('8. Transfers'!$J$9:$J$108="Matched"))+IF($O386="",0,COUNTIFS('9. Payroll Allocation'!$B$234:$B$253,$O386,'9. Payroll Allocation'!$H$234:$H$253,"Tied out"))&gt;0,"Linked","MISSING DETAIL")))</f>
        <v/>
      </c>
      <c r="T386" s="58" t="str">
        <f t="shared" si="52"/>
        <v/>
      </c>
      <c r="U386" s="59" t="str">
        <f>IF($T386="","",COUNTIF($T$6:$T386,"?*"))</f>
        <v/>
      </c>
      <c r="V386" s="58" t="str">
        <f t="shared" si="53"/>
        <v/>
      </c>
    </row>
    <row r="387" spans="1:22" ht="12.95" customHeight="1" x14ac:dyDescent="0.25">
      <c r="A387" s="60" t="str">
        <f t="shared" si="45"/>
        <v/>
      </c>
      <c r="B387" s="37"/>
      <c r="C387" s="28"/>
      <c r="D387" s="35"/>
      <c r="E387" s="38"/>
      <c r="F387" s="38"/>
      <c r="G387" s="60" t="str">
        <f t="shared" si="46"/>
        <v/>
      </c>
      <c r="H387" s="61" t="str">
        <f t="shared" si="47"/>
        <v/>
      </c>
      <c r="I387" s="40"/>
      <c r="J387" s="62" t="str">
        <f t="shared" si="48"/>
        <v/>
      </c>
      <c r="K387" s="45" t="str">
        <f t="shared" si="49"/>
        <v/>
      </c>
      <c r="L387" s="55"/>
      <c r="M387" s="63">
        <f t="shared" si="50"/>
        <v>0</v>
      </c>
      <c r="N387" s="63">
        <f t="shared" si="51"/>
        <v>0</v>
      </c>
      <c r="O387" s="57"/>
      <c r="P387" s="40"/>
      <c r="Q387" s="60" t="str">
        <f>IF($D387="","",IF($K387&lt;&gt;"Balance Sheet / Clearing","-",IF(SUMPRODUCT(--(LEFT('7. Settlements'!$J$8:$J$107,7)=$A387),--('7. Settlements'!$M$8:$M$107="Tied out"))+SUMPRODUCT(--(LEFT('8. Transfers'!$H$9:$H$108,7)=$A387),--('8. Transfers'!$J$9:$J$108="Matched"))+SUMPRODUCT(--(LEFT('8. Transfers'!$I$9:$I$108,7)=$A387),--('8. Transfers'!$J$9:$J$108="Matched"))+IF($O387="",0,COUNTIFS('9. Payroll Allocation'!$B$234:$B$253,$O387,'9. Payroll Allocation'!$H$234:$H$253,"Tied out"))&gt;0,"Linked","MISSING DETAIL")))</f>
        <v/>
      </c>
      <c r="T387" s="58" t="str">
        <f t="shared" si="52"/>
        <v/>
      </c>
      <c r="U387" s="59" t="str">
        <f>IF($T387="","",COUNTIF($T$6:$T387,"?*"))</f>
        <v/>
      </c>
      <c r="V387" s="58" t="str">
        <f t="shared" si="53"/>
        <v/>
      </c>
    </row>
    <row r="388" spans="1:22" ht="12.95" customHeight="1" x14ac:dyDescent="0.25">
      <c r="A388" s="52" t="str">
        <f t="shared" si="45"/>
        <v/>
      </c>
      <c r="B388" s="37"/>
      <c r="C388" s="28"/>
      <c r="D388" s="35"/>
      <c r="E388" s="38"/>
      <c r="F388" s="38"/>
      <c r="G388" s="52" t="str">
        <f t="shared" si="46"/>
        <v/>
      </c>
      <c r="H388" s="53" t="str">
        <f t="shared" si="47"/>
        <v/>
      </c>
      <c r="I388" s="40"/>
      <c r="J388" s="54" t="str">
        <f t="shared" si="48"/>
        <v/>
      </c>
      <c r="K388" s="41" t="str">
        <f t="shared" si="49"/>
        <v/>
      </c>
      <c r="L388" s="55"/>
      <c r="M388" s="56">
        <f t="shared" si="50"/>
        <v>0</v>
      </c>
      <c r="N388" s="56">
        <f t="shared" si="51"/>
        <v>0</v>
      </c>
      <c r="O388" s="57"/>
      <c r="P388" s="40"/>
      <c r="Q388" s="52" t="str">
        <f>IF($D388="","",IF($K388&lt;&gt;"Balance Sheet / Clearing","-",IF(SUMPRODUCT(--(LEFT('7. Settlements'!$J$8:$J$107,7)=$A388),--('7. Settlements'!$M$8:$M$107="Tied out"))+SUMPRODUCT(--(LEFT('8. Transfers'!$H$9:$H$108,7)=$A388),--('8. Transfers'!$J$9:$J$108="Matched"))+SUMPRODUCT(--(LEFT('8. Transfers'!$I$9:$I$108,7)=$A388),--('8. Transfers'!$J$9:$J$108="Matched"))+IF($O388="",0,COUNTIFS('9. Payroll Allocation'!$B$234:$B$253,$O388,'9. Payroll Allocation'!$H$234:$H$253,"Tied out"))&gt;0,"Linked","MISSING DETAIL")))</f>
        <v/>
      </c>
      <c r="T388" s="58" t="str">
        <f t="shared" si="52"/>
        <v/>
      </c>
      <c r="U388" s="59" t="str">
        <f>IF($T388="","",COUNTIF($T$6:$T388,"?*"))</f>
        <v/>
      </c>
      <c r="V388" s="58" t="str">
        <f t="shared" si="53"/>
        <v/>
      </c>
    </row>
    <row r="389" spans="1:22" ht="12.95" customHeight="1" x14ac:dyDescent="0.25">
      <c r="A389" s="60" t="str">
        <f t="shared" si="45"/>
        <v/>
      </c>
      <c r="B389" s="37"/>
      <c r="C389" s="28"/>
      <c r="D389" s="35"/>
      <c r="E389" s="38"/>
      <c r="F389" s="38"/>
      <c r="G389" s="60" t="str">
        <f t="shared" si="46"/>
        <v/>
      </c>
      <c r="H389" s="61" t="str">
        <f t="shared" si="47"/>
        <v/>
      </c>
      <c r="I389" s="40"/>
      <c r="J389" s="62" t="str">
        <f t="shared" si="48"/>
        <v/>
      </c>
      <c r="K389" s="45" t="str">
        <f t="shared" si="49"/>
        <v/>
      </c>
      <c r="L389" s="55"/>
      <c r="M389" s="63">
        <f t="shared" si="50"/>
        <v>0</v>
      </c>
      <c r="N389" s="63">
        <f t="shared" si="51"/>
        <v>0</v>
      </c>
      <c r="O389" s="57"/>
      <c r="P389" s="40"/>
      <c r="Q389" s="60" t="str">
        <f>IF($D389="","",IF($K389&lt;&gt;"Balance Sheet / Clearing","-",IF(SUMPRODUCT(--(LEFT('7. Settlements'!$J$8:$J$107,7)=$A389),--('7. Settlements'!$M$8:$M$107="Tied out"))+SUMPRODUCT(--(LEFT('8. Transfers'!$H$9:$H$108,7)=$A389),--('8. Transfers'!$J$9:$J$108="Matched"))+SUMPRODUCT(--(LEFT('8. Transfers'!$I$9:$I$108,7)=$A389),--('8. Transfers'!$J$9:$J$108="Matched"))+IF($O389="",0,COUNTIFS('9. Payroll Allocation'!$B$234:$B$253,$O389,'9. Payroll Allocation'!$H$234:$H$253,"Tied out"))&gt;0,"Linked","MISSING DETAIL")))</f>
        <v/>
      </c>
      <c r="T389" s="58" t="str">
        <f t="shared" si="52"/>
        <v/>
      </c>
      <c r="U389" s="59" t="str">
        <f>IF($T389="","",COUNTIF($T$6:$T389,"?*"))</f>
        <v/>
      </c>
      <c r="V389" s="58" t="str">
        <f t="shared" si="53"/>
        <v/>
      </c>
    </row>
    <row r="390" spans="1:22" ht="12.95" customHeight="1" x14ac:dyDescent="0.25">
      <c r="A390" s="52" t="str">
        <f t="shared" ref="A390:A453" si="54">IF($D390="","","TX-"&amp;TEXT(ROW()-5,"0000"))</f>
        <v/>
      </c>
      <c r="B390" s="37"/>
      <c r="C390" s="28"/>
      <c r="D390" s="35"/>
      <c r="E390" s="38"/>
      <c r="F390" s="38"/>
      <c r="G390" s="52" t="str">
        <f t="shared" ref="G390:G453" si="55">IF($D390="","",IFERROR(_xlfn.AGGREGATE(15,6,Rules_Pri/((ISNUMBER(SEARCH(Rules_Key,$D390)))*(Rules_Key&lt;&gt;"")*(Rules_Active="Yes")*((Rules_Dir="Any")+(Rules_Dir=IF(N($E390)&gt;0,"In","Out")))),1),""))</f>
        <v/>
      </c>
      <c r="H390" s="53" t="str">
        <f t="shared" ref="H390:H453" si="56">IF($D390="","",IF($G390="",IF(N($E390)&gt;0,"Uncategorized Deposit - NEEDS REVIEW","Uncategorized - NEEDS REVIEW"),INDEX(Rules_Cat,MATCH(1,INDEX(((ISNUMBER(SEARCH(Rules_Key,$D390)))*(Rules_Key&lt;&gt;"")*(Rules_Active="Yes")*((Rules_Dir="Any")+(Rules_Dir=IF(N($E390)&gt;0,"In","Out"))))*(Rules_Pri=$G390),0),0))))</f>
        <v/>
      </c>
      <c r="I390" s="40"/>
      <c r="J390" s="54" t="str">
        <f t="shared" ref="J390:J453" si="57">IF($D390="","",IF($I390&lt;&gt;"",$I390,$H390))</f>
        <v/>
      </c>
      <c r="K390" s="41" t="str">
        <f t="shared" ref="K390:K453" si="58">IF($J390="","",IFERROR(INDEX(Cat_Treatment,MATCH($J390,Cat_Name,0)),"Review Required"))</f>
        <v/>
      </c>
      <c r="L390" s="55"/>
      <c r="M390" s="56">
        <f t="shared" ref="M390:M453" si="59">IF($K390&lt;&gt;"Operating Expense",0,IF(AND($L390&lt;&gt;"",OR(N($L390)&lt;0,N($L390)&gt;1)),0,ROUND(N($F390)*IF($L390="",1,$L390),2)))</f>
        <v>0</v>
      </c>
      <c r="N390" s="56">
        <f t="shared" ref="N390:N453" si="60">IF($K390="Operating Revenue",ROUND(N($E390)-N($F390),2),0)</f>
        <v>0</v>
      </c>
      <c r="O390" s="57"/>
      <c r="P390" s="40"/>
      <c r="Q390" s="52" t="str">
        <f>IF($D390="","",IF($K390&lt;&gt;"Balance Sheet / Clearing","-",IF(SUMPRODUCT(--(LEFT('7. Settlements'!$J$8:$J$107,7)=$A390),--('7. Settlements'!$M$8:$M$107="Tied out"))+SUMPRODUCT(--(LEFT('8. Transfers'!$H$9:$H$108,7)=$A390),--('8. Transfers'!$J$9:$J$108="Matched"))+SUMPRODUCT(--(LEFT('8. Transfers'!$I$9:$I$108,7)=$A390),--('8. Transfers'!$J$9:$J$108="Matched"))+IF($O390="",0,COUNTIFS('9. Payroll Allocation'!$B$234:$B$253,$O390,'9. Payroll Allocation'!$H$234:$H$253,"Tied out"))&gt;0,"Linked","MISSING DETAIL")))</f>
        <v/>
      </c>
      <c r="T390" s="58" t="str">
        <f t="shared" ref="T390:T453" si="61">IF(OR($D390="",$K390&lt;&gt;"Balance Sheet / Clearing"),"",$A390&amp;" · "&amp;TEXT($B390,"mm/dd")&amp;" · "&amp;LEFT($D390,24)&amp;" · "&amp;TEXT(N($E390)+N($F390),"#,##0.00"))</f>
        <v/>
      </c>
      <c r="U390" s="59" t="str">
        <f>IF($T390="","",COUNTIF($T$6:$T390,"?*"))</f>
        <v/>
      </c>
      <c r="V390" s="58" t="str">
        <f t="shared" ref="V390:V453" si="62">IFERROR(INDEX($T$6:$T$1005,MATCH(ROW()-5,$U$6:$U$1005,0)),"")</f>
        <v/>
      </c>
    </row>
    <row r="391" spans="1:22" ht="12.95" customHeight="1" x14ac:dyDescent="0.25">
      <c r="A391" s="60" t="str">
        <f t="shared" si="54"/>
        <v/>
      </c>
      <c r="B391" s="37"/>
      <c r="C391" s="28"/>
      <c r="D391" s="35"/>
      <c r="E391" s="38"/>
      <c r="F391" s="38"/>
      <c r="G391" s="60" t="str">
        <f t="shared" si="55"/>
        <v/>
      </c>
      <c r="H391" s="61" t="str">
        <f t="shared" si="56"/>
        <v/>
      </c>
      <c r="I391" s="40"/>
      <c r="J391" s="62" t="str">
        <f t="shared" si="57"/>
        <v/>
      </c>
      <c r="K391" s="45" t="str">
        <f t="shared" si="58"/>
        <v/>
      </c>
      <c r="L391" s="55"/>
      <c r="M391" s="63">
        <f t="shared" si="59"/>
        <v>0</v>
      </c>
      <c r="N391" s="63">
        <f t="shared" si="60"/>
        <v>0</v>
      </c>
      <c r="O391" s="57"/>
      <c r="P391" s="40"/>
      <c r="Q391" s="60" t="str">
        <f>IF($D391="","",IF($K391&lt;&gt;"Balance Sheet / Clearing","-",IF(SUMPRODUCT(--(LEFT('7. Settlements'!$J$8:$J$107,7)=$A391),--('7. Settlements'!$M$8:$M$107="Tied out"))+SUMPRODUCT(--(LEFT('8. Transfers'!$H$9:$H$108,7)=$A391),--('8. Transfers'!$J$9:$J$108="Matched"))+SUMPRODUCT(--(LEFT('8. Transfers'!$I$9:$I$108,7)=$A391),--('8. Transfers'!$J$9:$J$108="Matched"))+IF($O391="",0,COUNTIFS('9. Payroll Allocation'!$B$234:$B$253,$O391,'9. Payroll Allocation'!$H$234:$H$253,"Tied out"))&gt;0,"Linked","MISSING DETAIL")))</f>
        <v/>
      </c>
      <c r="T391" s="58" t="str">
        <f t="shared" si="61"/>
        <v/>
      </c>
      <c r="U391" s="59" t="str">
        <f>IF($T391="","",COUNTIF($T$6:$T391,"?*"))</f>
        <v/>
      </c>
      <c r="V391" s="58" t="str">
        <f t="shared" si="62"/>
        <v/>
      </c>
    </row>
    <row r="392" spans="1:22" ht="12.95" customHeight="1" x14ac:dyDescent="0.25">
      <c r="A392" s="52" t="str">
        <f t="shared" si="54"/>
        <v/>
      </c>
      <c r="B392" s="37"/>
      <c r="C392" s="28"/>
      <c r="D392" s="35"/>
      <c r="E392" s="38"/>
      <c r="F392" s="38"/>
      <c r="G392" s="52" t="str">
        <f t="shared" si="55"/>
        <v/>
      </c>
      <c r="H392" s="53" t="str">
        <f t="shared" si="56"/>
        <v/>
      </c>
      <c r="I392" s="40"/>
      <c r="J392" s="54" t="str">
        <f t="shared" si="57"/>
        <v/>
      </c>
      <c r="K392" s="41" t="str">
        <f t="shared" si="58"/>
        <v/>
      </c>
      <c r="L392" s="55"/>
      <c r="M392" s="56">
        <f t="shared" si="59"/>
        <v>0</v>
      </c>
      <c r="N392" s="56">
        <f t="shared" si="60"/>
        <v>0</v>
      </c>
      <c r="O392" s="57"/>
      <c r="P392" s="40"/>
      <c r="Q392" s="52" t="str">
        <f>IF($D392="","",IF($K392&lt;&gt;"Balance Sheet / Clearing","-",IF(SUMPRODUCT(--(LEFT('7. Settlements'!$J$8:$J$107,7)=$A392),--('7. Settlements'!$M$8:$M$107="Tied out"))+SUMPRODUCT(--(LEFT('8. Transfers'!$H$9:$H$108,7)=$A392),--('8. Transfers'!$J$9:$J$108="Matched"))+SUMPRODUCT(--(LEFT('8. Transfers'!$I$9:$I$108,7)=$A392),--('8. Transfers'!$J$9:$J$108="Matched"))+IF($O392="",0,COUNTIFS('9. Payroll Allocation'!$B$234:$B$253,$O392,'9. Payroll Allocation'!$H$234:$H$253,"Tied out"))&gt;0,"Linked","MISSING DETAIL")))</f>
        <v/>
      </c>
      <c r="T392" s="58" t="str">
        <f t="shared" si="61"/>
        <v/>
      </c>
      <c r="U392" s="59" t="str">
        <f>IF($T392="","",COUNTIF($T$6:$T392,"?*"))</f>
        <v/>
      </c>
      <c r="V392" s="58" t="str">
        <f t="shared" si="62"/>
        <v/>
      </c>
    </row>
    <row r="393" spans="1:22" ht="12.95" customHeight="1" x14ac:dyDescent="0.25">
      <c r="A393" s="60" t="str">
        <f t="shared" si="54"/>
        <v/>
      </c>
      <c r="B393" s="37"/>
      <c r="C393" s="28"/>
      <c r="D393" s="35"/>
      <c r="E393" s="38"/>
      <c r="F393" s="38"/>
      <c r="G393" s="60" t="str">
        <f t="shared" si="55"/>
        <v/>
      </c>
      <c r="H393" s="61" t="str">
        <f t="shared" si="56"/>
        <v/>
      </c>
      <c r="I393" s="40"/>
      <c r="J393" s="62" t="str">
        <f t="shared" si="57"/>
        <v/>
      </c>
      <c r="K393" s="45" t="str">
        <f t="shared" si="58"/>
        <v/>
      </c>
      <c r="L393" s="55"/>
      <c r="M393" s="63">
        <f t="shared" si="59"/>
        <v>0</v>
      </c>
      <c r="N393" s="63">
        <f t="shared" si="60"/>
        <v>0</v>
      </c>
      <c r="O393" s="57"/>
      <c r="P393" s="40"/>
      <c r="Q393" s="60" t="str">
        <f>IF($D393="","",IF($K393&lt;&gt;"Balance Sheet / Clearing","-",IF(SUMPRODUCT(--(LEFT('7. Settlements'!$J$8:$J$107,7)=$A393),--('7. Settlements'!$M$8:$M$107="Tied out"))+SUMPRODUCT(--(LEFT('8. Transfers'!$H$9:$H$108,7)=$A393),--('8. Transfers'!$J$9:$J$108="Matched"))+SUMPRODUCT(--(LEFT('8. Transfers'!$I$9:$I$108,7)=$A393),--('8. Transfers'!$J$9:$J$108="Matched"))+IF($O393="",0,COUNTIFS('9. Payroll Allocation'!$B$234:$B$253,$O393,'9. Payroll Allocation'!$H$234:$H$253,"Tied out"))&gt;0,"Linked","MISSING DETAIL")))</f>
        <v/>
      </c>
      <c r="T393" s="58" t="str">
        <f t="shared" si="61"/>
        <v/>
      </c>
      <c r="U393" s="59" t="str">
        <f>IF($T393="","",COUNTIF($T$6:$T393,"?*"))</f>
        <v/>
      </c>
      <c r="V393" s="58" t="str">
        <f t="shared" si="62"/>
        <v/>
      </c>
    </row>
    <row r="394" spans="1:22" ht="12.95" customHeight="1" x14ac:dyDescent="0.25">
      <c r="A394" s="52" t="str">
        <f t="shared" si="54"/>
        <v/>
      </c>
      <c r="B394" s="37"/>
      <c r="C394" s="28"/>
      <c r="D394" s="35"/>
      <c r="E394" s="38"/>
      <c r="F394" s="38"/>
      <c r="G394" s="52" t="str">
        <f t="shared" si="55"/>
        <v/>
      </c>
      <c r="H394" s="53" t="str">
        <f t="shared" si="56"/>
        <v/>
      </c>
      <c r="I394" s="40"/>
      <c r="J394" s="54" t="str">
        <f t="shared" si="57"/>
        <v/>
      </c>
      <c r="K394" s="41" t="str">
        <f t="shared" si="58"/>
        <v/>
      </c>
      <c r="L394" s="55"/>
      <c r="M394" s="56">
        <f t="shared" si="59"/>
        <v>0</v>
      </c>
      <c r="N394" s="56">
        <f t="shared" si="60"/>
        <v>0</v>
      </c>
      <c r="O394" s="57"/>
      <c r="P394" s="40"/>
      <c r="Q394" s="52" t="str">
        <f>IF($D394="","",IF($K394&lt;&gt;"Balance Sheet / Clearing","-",IF(SUMPRODUCT(--(LEFT('7. Settlements'!$J$8:$J$107,7)=$A394),--('7. Settlements'!$M$8:$M$107="Tied out"))+SUMPRODUCT(--(LEFT('8. Transfers'!$H$9:$H$108,7)=$A394),--('8. Transfers'!$J$9:$J$108="Matched"))+SUMPRODUCT(--(LEFT('8. Transfers'!$I$9:$I$108,7)=$A394),--('8. Transfers'!$J$9:$J$108="Matched"))+IF($O394="",0,COUNTIFS('9. Payroll Allocation'!$B$234:$B$253,$O394,'9. Payroll Allocation'!$H$234:$H$253,"Tied out"))&gt;0,"Linked","MISSING DETAIL")))</f>
        <v/>
      </c>
      <c r="T394" s="58" t="str">
        <f t="shared" si="61"/>
        <v/>
      </c>
      <c r="U394" s="59" t="str">
        <f>IF($T394="","",COUNTIF($T$6:$T394,"?*"))</f>
        <v/>
      </c>
      <c r="V394" s="58" t="str">
        <f t="shared" si="62"/>
        <v/>
      </c>
    </row>
    <row r="395" spans="1:22" ht="12.95" customHeight="1" x14ac:dyDescent="0.25">
      <c r="A395" s="60" t="str">
        <f t="shared" si="54"/>
        <v/>
      </c>
      <c r="B395" s="37"/>
      <c r="C395" s="28"/>
      <c r="D395" s="35"/>
      <c r="E395" s="38"/>
      <c r="F395" s="38"/>
      <c r="G395" s="60" t="str">
        <f t="shared" si="55"/>
        <v/>
      </c>
      <c r="H395" s="61" t="str">
        <f t="shared" si="56"/>
        <v/>
      </c>
      <c r="I395" s="40"/>
      <c r="J395" s="62" t="str">
        <f t="shared" si="57"/>
        <v/>
      </c>
      <c r="K395" s="45" t="str">
        <f t="shared" si="58"/>
        <v/>
      </c>
      <c r="L395" s="55"/>
      <c r="M395" s="63">
        <f t="shared" si="59"/>
        <v>0</v>
      </c>
      <c r="N395" s="63">
        <f t="shared" si="60"/>
        <v>0</v>
      </c>
      <c r="O395" s="57"/>
      <c r="P395" s="40"/>
      <c r="Q395" s="60" t="str">
        <f>IF($D395="","",IF($K395&lt;&gt;"Balance Sheet / Clearing","-",IF(SUMPRODUCT(--(LEFT('7. Settlements'!$J$8:$J$107,7)=$A395),--('7. Settlements'!$M$8:$M$107="Tied out"))+SUMPRODUCT(--(LEFT('8. Transfers'!$H$9:$H$108,7)=$A395),--('8. Transfers'!$J$9:$J$108="Matched"))+SUMPRODUCT(--(LEFT('8. Transfers'!$I$9:$I$108,7)=$A395),--('8. Transfers'!$J$9:$J$108="Matched"))+IF($O395="",0,COUNTIFS('9. Payroll Allocation'!$B$234:$B$253,$O395,'9. Payroll Allocation'!$H$234:$H$253,"Tied out"))&gt;0,"Linked","MISSING DETAIL")))</f>
        <v/>
      </c>
      <c r="T395" s="58" t="str">
        <f t="shared" si="61"/>
        <v/>
      </c>
      <c r="U395" s="59" t="str">
        <f>IF($T395="","",COUNTIF($T$6:$T395,"?*"))</f>
        <v/>
      </c>
      <c r="V395" s="58" t="str">
        <f t="shared" si="62"/>
        <v/>
      </c>
    </row>
    <row r="396" spans="1:22" ht="12.95" customHeight="1" x14ac:dyDescent="0.25">
      <c r="A396" s="52" t="str">
        <f t="shared" si="54"/>
        <v/>
      </c>
      <c r="B396" s="37"/>
      <c r="C396" s="28"/>
      <c r="D396" s="35"/>
      <c r="E396" s="38"/>
      <c r="F396" s="38"/>
      <c r="G396" s="52" t="str">
        <f t="shared" si="55"/>
        <v/>
      </c>
      <c r="H396" s="53" t="str">
        <f t="shared" si="56"/>
        <v/>
      </c>
      <c r="I396" s="40"/>
      <c r="J396" s="54" t="str">
        <f t="shared" si="57"/>
        <v/>
      </c>
      <c r="K396" s="41" t="str">
        <f t="shared" si="58"/>
        <v/>
      </c>
      <c r="L396" s="55"/>
      <c r="M396" s="56">
        <f t="shared" si="59"/>
        <v>0</v>
      </c>
      <c r="N396" s="56">
        <f t="shared" si="60"/>
        <v>0</v>
      </c>
      <c r="O396" s="57"/>
      <c r="P396" s="40"/>
      <c r="Q396" s="52" t="str">
        <f>IF($D396="","",IF($K396&lt;&gt;"Balance Sheet / Clearing","-",IF(SUMPRODUCT(--(LEFT('7. Settlements'!$J$8:$J$107,7)=$A396),--('7. Settlements'!$M$8:$M$107="Tied out"))+SUMPRODUCT(--(LEFT('8. Transfers'!$H$9:$H$108,7)=$A396),--('8. Transfers'!$J$9:$J$108="Matched"))+SUMPRODUCT(--(LEFT('8. Transfers'!$I$9:$I$108,7)=$A396),--('8. Transfers'!$J$9:$J$108="Matched"))+IF($O396="",0,COUNTIFS('9. Payroll Allocation'!$B$234:$B$253,$O396,'9. Payroll Allocation'!$H$234:$H$253,"Tied out"))&gt;0,"Linked","MISSING DETAIL")))</f>
        <v/>
      </c>
      <c r="T396" s="58" t="str">
        <f t="shared" si="61"/>
        <v/>
      </c>
      <c r="U396" s="59" t="str">
        <f>IF($T396="","",COUNTIF($T$6:$T396,"?*"))</f>
        <v/>
      </c>
      <c r="V396" s="58" t="str">
        <f t="shared" si="62"/>
        <v/>
      </c>
    </row>
    <row r="397" spans="1:22" ht="12.95" customHeight="1" x14ac:dyDescent="0.25">
      <c r="A397" s="60" t="str">
        <f t="shared" si="54"/>
        <v/>
      </c>
      <c r="B397" s="37"/>
      <c r="C397" s="28"/>
      <c r="D397" s="35"/>
      <c r="E397" s="38"/>
      <c r="F397" s="38"/>
      <c r="G397" s="60" t="str">
        <f t="shared" si="55"/>
        <v/>
      </c>
      <c r="H397" s="61" t="str">
        <f t="shared" si="56"/>
        <v/>
      </c>
      <c r="I397" s="40"/>
      <c r="J397" s="62" t="str">
        <f t="shared" si="57"/>
        <v/>
      </c>
      <c r="K397" s="45" t="str">
        <f t="shared" si="58"/>
        <v/>
      </c>
      <c r="L397" s="55"/>
      <c r="M397" s="63">
        <f t="shared" si="59"/>
        <v>0</v>
      </c>
      <c r="N397" s="63">
        <f t="shared" si="60"/>
        <v>0</v>
      </c>
      <c r="O397" s="57"/>
      <c r="P397" s="40"/>
      <c r="Q397" s="60" t="str">
        <f>IF($D397="","",IF($K397&lt;&gt;"Balance Sheet / Clearing","-",IF(SUMPRODUCT(--(LEFT('7. Settlements'!$J$8:$J$107,7)=$A397),--('7. Settlements'!$M$8:$M$107="Tied out"))+SUMPRODUCT(--(LEFT('8. Transfers'!$H$9:$H$108,7)=$A397),--('8. Transfers'!$J$9:$J$108="Matched"))+SUMPRODUCT(--(LEFT('8. Transfers'!$I$9:$I$108,7)=$A397),--('8. Transfers'!$J$9:$J$108="Matched"))+IF($O397="",0,COUNTIFS('9. Payroll Allocation'!$B$234:$B$253,$O397,'9. Payroll Allocation'!$H$234:$H$253,"Tied out"))&gt;0,"Linked","MISSING DETAIL")))</f>
        <v/>
      </c>
      <c r="T397" s="58" t="str">
        <f t="shared" si="61"/>
        <v/>
      </c>
      <c r="U397" s="59" t="str">
        <f>IF($T397="","",COUNTIF($T$6:$T397,"?*"))</f>
        <v/>
      </c>
      <c r="V397" s="58" t="str">
        <f t="shared" si="62"/>
        <v/>
      </c>
    </row>
    <row r="398" spans="1:22" ht="12.95" customHeight="1" x14ac:dyDescent="0.25">
      <c r="A398" s="52" t="str">
        <f t="shared" si="54"/>
        <v/>
      </c>
      <c r="B398" s="37"/>
      <c r="C398" s="28"/>
      <c r="D398" s="35"/>
      <c r="E398" s="38"/>
      <c r="F398" s="38"/>
      <c r="G398" s="52" t="str">
        <f t="shared" si="55"/>
        <v/>
      </c>
      <c r="H398" s="53" t="str">
        <f t="shared" si="56"/>
        <v/>
      </c>
      <c r="I398" s="40"/>
      <c r="J398" s="54" t="str">
        <f t="shared" si="57"/>
        <v/>
      </c>
      <c r="K398" s="41" t="str">
        <f t="shared" si="58"/>
        <v/>
      </c>
      <c r="L398" s="55"/>
      <c r="M398" s="56">
        <f t="shared" si="59"/>
        <v>0</v>
      </c>
      <c r="N398" s="56">
        <f t="shared" si="60"/>
        <v>0</v>
      </c>
      <c r="O398" s="57"/>
      <c r="P398" s="40"/>
      <c r="Q398" s="52" t="str">
        <f>IF($D398="","",IF($K398&lt;&gt;"Balance Sheet / Clearing","-",IF(SUMPRODUCT(--(LEFT('7. Settlements'!$J$8:$J$107,7)=$A398),--('7. Settlements'!$M$8:$M$107="Tied out"))+SUMPRODUCT(--(LEFT('8. Transfers'!$H$9:$H$108,7)=$A398),--('8. Transfers'!$J$9:$J$108="Matched"))+SUMPRODUCT(--(LEFT('8. Transfers'!$I$9:$I$108,7)=$A398),--('8. Transfers'!$J$9:$J$108="Matched"))+IF($O398="",0,COUNTIFS('9. Payroll Allocation'!$B$234:$B$253,$O398,'9. Payroll Allocation'!$H$234:$H$253,"Tied out"))&gt;0,"Linked","MISSING DETAIL")))</f>
        <v/>
      </c>
      <c r="T398" s="58" t="str">
        <f t="shared" si="61"/>
        <v/>
      </c>
      <c r="U398" s="59" t="str">
        <f>IF($T398="","",COUNTIF($T$6:$T398,"?*"))</f>
        <v/>
      </c>
      <c r="V398" s="58" t="str">
        <f t="shared" si="62"/>
        <v/>
      </c>
    </row>
    <row r="399" spans="1:22" ht="12.95" customHeight="1" x14ac:dyDescent="0.25">
      <c r="A399" s="60" t="str">
        <f t="shared" si="54"/>
        <v/>
      </c>
      <c r="B399" s="37"/>
      <c r="C399" s="28"/>
      <c r="D399" s="35"/>
      <c r="E399" s="38"/>
      <c r="F399" s="38"/>
      <c r="G399" s="60" t="str">
        <f t="shared" si="55"/>
        <v/>
      </c>
      <c r="H399" s="61" t="str">
        <f t="shared" si="56"/>
        <v/>
      </c>
      <c r="I399" s="40"/>
      <c r="J399" s="62" t="str">
        <f t="shared" si="57"/>
        <v/>
      </c>
      <c r="K399" s="45" t="str">
        <f t="shared" si="58"/>
        <v/>
      </c>
      <c r="L399" s="55"/>
      <c r="M399" s="63">
        <f t="shared" si="59"/>
        <v>0</v>
      </c>
      <c r="N399" s="63">
        <f t="shared" si="60"/>
        <v>0</v>
      </c>
      <c r="O399" s="57"/>
      <c r="P399" s="40"/>
      <c r="Q399" s="60" t="str">
        <f>IF($D399="","",IF($K399&lt;&gt;"Balance Sheet / Clearing","-",IF(SUMPRODUCT(--(LEFT('7. Settlements'!$J$8:$J$107,7)=$A399),--('7. Settlements'!$M$8:$M$107="Tied out"))+SUMPRODUCT(--(LEFT('8. Transfers'!$H$9:$H$108,7)=$A399),--('8. Transfers'!$J$9:$J$108="Matched"))+SUMPRODUCT(--(LEFT('8. Transfers'!$I$9:$I$108,7)=$A399),--('8. Transfers'!$J$9:$J$108="Matched"))+IF($O399="",0,COUNTIFS('9. Payroll Allocation'!$B$234:$B$253,$O399,'9. Payroll Allocation'!$H$234:$H$253,"Tied out"))&gt;0,"Linked","MISSING DETAIL")))</f>
        <v/>
      </c>
      <c r="T399" s="58" t="str">
        <f t="shared" si="61"/>
        <v/>
      </c>
      <c r="U399" s="59" t="str">
        <f>IF($T399="","",COUNTIF($T$6:$T399,"?*"))</f>
        <v/>
      </c>
      <c r="V399" s="58" t="str">
        <f t="shared" si="62"/>
        <v/>
      </c>
    </row>
    <row r="400" spans="1:22" ht="12.95" customHeight="1" x14ac:dyDescent="0.25">
      <c r="A400" s="52" t="str">
        <f t="shared" si="54"/>
        <v/>
      </c>
      <c r="B400" s="37"/>
      <c r="C400" s="28"/>
      <c r="D400" s="35"/>
      <c r="E400" s="38"/>
      <c r="F400" s="38"/>
      <c r="G400" s="52" t="str">
        <f t="shared" si="55"/>
        <v/>
      </c>
      <c r="H400" s="53" t="str">
        <f t="shared" si="56"/>
        <v/>
      </c>
      <c r="I400" s="40"/>
      <c r="J400" s="54" t="str">
        <f t="shared" si="57"/>
        <v/>
      </c>
      <c r="K400" s="41" t="str">
        <f t="shared" si="58"/>
        <v/>
      </c>
      <c r="L400" s="55"/>
      <c r="M400" s="56">
        <f t="shared" si="59"/>
        <v>0</v>
      </c>
      <c r="N400" s="56">
        <f t="shared" si="60"/>
        <v>0</v>
      </c>
      <c r="O400" s="57"/>
      <c r="P400" s="40"/>
      <c r="Q400" s="52" t="str">
        <f>IF($D400="","",IF($K400&lt;&gt;"Balance Sheet / Clearing","-",IF(SUMPRODUCT(--(LEFT('7. Settlements'!$J$8:$J$107,7)=$A400),--('7. Settlements'!$M$8:$M$107="Tied out"))+SUMPRODUCT(--(LEFT('8. Transfers'!$H$9:$H$108,7)=$A400),--('8. Transfers'!$J$9:$J$108="Matched"))+SUMPRODUCT(--(LEFT('8. Transfers'!$I$9:$I$108,7)=$A400),--('8. Transfers'!$J$9:$J$108="Matched"))+IF($O400="",0,COUNTIFS('9. Payroll Allocation'!$B$234:$B$253,$O400,'9. Payroll Allocation'!$H$234:$H$253,"Tied out"))&gt;0,"Linked","MISSING DETAIL")))</f>
        <v/>
      </c>
      <c r="T400" s="58" t="str">
        <f t="shared" si="61"/>
        <v/>
      </c>
      <c r="U400" s="59" t="str">
        <f>IF($T400="","",COUNTIF($T$6:$T400,"?*"))</f>
        <v/>
      </c>
      <c r="V400" s="58" t="str">
        <f t="shared" si="62"/>
        <v/>
      </c>
    </row>
    <row r="401" spans="1:22" ht="12.95" customHeight="1" x14ac:dyDescent="0.25">
      <c r="A401" s="60" t="str">
        <f t="shared" si="54"/>
        <v/>
      </c>
      <c r="B401" s="37"/>
      <c r="C401" s="28"/>
      <c r="D401" s="35"/>
      <c r="E401" s="38"/>
      <c r="F401" s="38"/>
      <c r="G401" s="60" t="str">
        <f t="shared" si="55"/>
        <v/>
      </c>
      <c r="H401" s="61" t="str">
        <f t="shared" si="56"/>
        <v/>
      </c>
      <c r="I401" s="40"/>
      <c r="J401" s="62" t="str">
        <f t="shared" si="57"/>
        <v/>
      </c>
      <c r="K401" s="45" t="str">
        <f t="shared" si="58"/>
        <v/>
      </c>
      <c r="L401" s="55"/>
      <c r="M401" s="63">
        <f t="shared" si="59"/>
        <v>0</v>
      </c>
      <c r="N401" s="63">
        <f t="shared" si="60"/>
        <v>0</v>
      </c>
      <c r="O401" s="57"/>
      <c r="P401" s="40"/>
      <c r="Q401" s="60" t="str">
        <f>IF($D401="","",IF($K401&lt;&gt;"Balance Sheet / Clearing","-",IF(SUMPRODUCT(--(LEFT('7. Settlements'!$J$8:$J$107,7)=$A401),--('7. Settlements'!$M$8:$M$107="Tied out"))+SUMPRODUCT(--(LEFT('8. Transfers'!$H$9:$H$108,7)=$A401),--('8. Transfers'!$J$9:$J$108="Matched"))+SUMPRODUCT(--(LEFT('8. Transfers'!$I$9:$I$108,7)=$A401),--('8. Transfers'!$J$9:$J$108="Matched"))+IF($O401="",0,COUNTIFS('9. Payroll Allocation'!$B$234:$B$253,$O401,'9. Payroll Allocation'!$H$234:$H$253,"Tied out"))&gt;0,"Linked","MISSING DETAIL")))</f>
        <v/>
      </c>
      <c r="T401" s="58" t="str">
        <f t="shared" si="61"/>
        <v/>
      </c>
      <c r="U401" s="59" t="str">
        <f>IF($T401="","",COUNTIF($T$6:$T401,"?*"))</f>
        <v/>
      </c>
      <c r="V401" s="58" t="str">
        <f t="shared" si="62"/>
        <v/>
      </c>
    </row>
    <row r="402" spans="1:22" ht="12.95" customHeight="1" x14ac:dyDescent="0.25">
      <c r="A402" s="52" t="str">
        <f t="shared" si="54"/>
        <v/>
      </c>
      <c r="B402" s="37"/>
      <c r="C402" s="28"/>
      <c r="D402" s="35"/>
      <c r="E402" s="38"/>
      <c r="F402" s="38"/>
      <c r="G402" s="52" t="str">
        <f t="shared" si="55"/>
        <v/>
      </c>
      <c r="H402" s="53" t="str">
        <f t="shared" si="56"/>
        <v/>
      </c>
      <c r="I402" s="40"/>
      <c r="J402" s="54" t="str">
        <f t="shared" si="57"/>
        <v/>
      </c>
      <c r="K402" s="41" t="str">
        <f t="shared" si="58"/>
        <v/>
      </c>
      <c r="L402" s="55"/>
      <c r="M402" s="56">
        <f t="shared" si="59"/>
        <v>0</v>
      </c>
      <c r="N402" s="56">
        <f t="shared" si="60"/>
        <v>0</v>
      </c>
      <c r="O402" s="57"/>
      <c r="P402" s="40"/>
      <c r="Q402" s="52" t="str">
        <f>IF($D402="","",IF($K402&lt;&gt;"Balance Sheet / Clearing","-",IF(SUMPRODUCT(--(LEFT('7. Settlements'!$J$8:$J$107,7)=$A402),--('7. Settlements'!$M$8:$M$107="Tied out"))+SUMPRODUCT(--(LEFT('8. Transfers'!$H$9:$H$108,7)=$A402),--('8. Transfers'!$J$9:$J$108="Matched"))+SUMPRODUCT(--(LEFT('8. Transfers'!$I$9:$I$108,7)=$A402),--('8. Transfers'!$J$9:$J$108="Matched"))+IF($O402="",0,COUNTIFS('9. Payroll Allocation'!$B$234:$B$253,$O402,'9. Payroll Allocation'!$H$234:$H$253,"Tied out"))&gt;0,"Linked","MISSING DETAIL")))</f>
        <v/>
      </c>
      <c r="T402" s="58" t="str">
        <f t="shared" si="61"/>
        <v/>
      </c>
      <c r="U402" s="59" t="str">
        <f>IF($T402="","",COUNTIF($T$6:$T402,"?*"))</f>
        <v/>
      </c>
      <c r="V402" s="58" t="str">
        <f t="shared" si="62"/>
        <v/>
      </c>
    </row>
    <row r="403" spans="1:22" ht="12.95" customHeight="1" x14ac:dyDescent="0.25">
      <c r="A403" s="60" t="str">
        <f t="shared" si="54"/>
        <v/>
      </c>
      <c r="B403" s="37"/>
      <c r="C403" s="28"/>
      <c r="D403" s="35"/>
      <c r="E403" s="38"/>
      <c r="F403" s="38"/>
      <c r="G403" s="60" t="str">
        <f t="shared" si="55"/>
        <v/>
      </c>
      <c r="H403" s="61" t="str">
        <f t="shared" si="56"/>
        <v/>
      </c>
      <c r="I403" s="40"/>
      <c r="J403" s="62" t="str">
        <f t="shared" si="57"/>
        <v/>
      </c>
      <c r="K403" s="45" t="str">
        <f t="shared" si="58"/>
        <v/>
      </c>
      <c r="L403" s="55"/>
      <c r="M403" s="63">
        <f t="shared" si="59"/>
        <v>0</v>
      </c>
      <c r="N403" s="63">
        <f t="shared" si="60"/>
        <v>0</v>
      </c>
      <c r="O403" s="57"/>
      <c r="P403" s="40"/>
      <c r="Q403" s="60" t="str">
        <f>IF($D403="","",IF($K403&lt;&gt;"Balance Sheet / Clearing","-",IF(SUMPRODUCT(--(LEFT('7. Settlements'!$J$8:$J$107,7)=$A403),--('7. Settlements'!$M$8:$M$107="Tied out"))+SUMPRODUCT(--(LEFT('8. Transfers'!$H$9:$H$108,7)=$A403),--('8. Transfers'!$J$9:$J$108="Matched"))+SUMPRODUCT(--(LEFT('8. Transfers'!$I$9:$I$108,7)=$A403),--('8. Transfers'!$J$9:$J$108="Matched"))+IF($O403="",0,COUNTIFS('9. Payroll Allocation'!$B$234:$B$253,$O403,'9. Payroll Allocation'!$H$234:$H$253,"Tied out"))&gt;0,"Linked","MISSING DETAIL")))</f>
        <v/>
      </c>
      <c r="T403" s="58" t="str">
        <f t="shared" si="61"/>
        <v/>
      </c>
      <c r="U403" s="59" t="str">
        <f>IF($T403="","",COUNTIF($T$6:$T403,"?*"))</f>
        <v/>
      </c>
      <c r="V403" s="58" t="str">
        <f t="shared" si="62"/>
        <v/>
      </c>
    </row>
    <row r="404" spans="1:22" ht="12.95" customHeight="1" x14ac:dyDescent="0.25">
      <c r="A404" s="52" t="str">
        <f t="shared" si="54"/>
        <v/>
      </c>
      <c r="B404" s="37"/>
      <c r="C404" s="28"/>
      <c r="D404" s="35"/>
      <c r="E404" s="38"/>
      <c r="F404" s="38"/>
      <c r="G404" s="52" t="str">
        <f t="shared" si="55"/>
        <v/>
      </c>
      <c r="H404" s="53" t="str">
        <f t="shared" si="56"/>
        <v/>
      </c>
      <c r="I404" s="40"/>
      <c r="J404" s="54" t="str">
        <f t="shared" si="57"/>
        <v/>
      </c>
      <c r="K404" s="41" t="str">
        <f t="shared" si="58"/>
        <v/>
      </c>
      <c r="L404" s="55"/>
      <c r="M404" s="56">
        <f t="shared" si="59"/>
        <v>0</v>
      </c>
      <c r="N404" s="56">
        <f t="shared" si="60"/>
        <v>0</v>
      </c>
      <c r="O404" s="57"/>
      <c r="P404" s="40"/>
      <c r="Q404" s="52" t="str">
        <f>IF($D404="","",IF($K404&lt;&gt;"Balance Sheet / Clearing","-",IF(SUMPRODUCT(--(LEFT('7. Settlements'!$J$8:$J$107,7)=$A404),--('7. Settlements'!$M$8:$M$107="Tied out"))+SUMPRODUCT(--(LEFT('8. Transfers'!$H$9:$H$108,7)=$A404),--('8. Transfers'!$J$9:$J$108="Matched"))+SUMPRODUCT(--(LEFT('8. Transfers'!$I$9:$I$108,7)=$A404),--('8. Transfers'!$J$9:$J$108="Matched"))+IF($O404="",0,COUNTIFS('9. Payroll Allocation'!$B$234:$B$253,$O404,'9. Payroll Allocation'!$H$234:$H$253,"Tied out"))&gt;0,"Linked","MISSING DETAIL")))</f>
        <v/>
      </c>
      <c r="T404" s="58" t="str">
        <f t="shared" si="61"/>
        <v/>
      </c>
      <c r="U404" s="59" t="str">
        <f>IF($T404="","",COUNTIF($T$6:$T404,"?*"))</f>
        <v/>
      </c>
      <c r="V404" s="58" t="str">
        <f t="shared" si="62"/>
        <v/>
      </c>
    </row>
    <row r="405" spans="1:22" ht="12.95" customHeight="1" x14ac:dyDescent="0.25">
      <c r="A405" s="60" t="str">
        <f t="shared" si="54"/>
        <v/>
      </c>
      <c r="B405" s="37"/>
      <c r="C405" s="28"/>
      <c r="D405" s="35"/>
      <c r="E405" s="38"/>
      <c r="F405" s="38"/>
      <c r="G405" s="60" t="str">
        <f t="shared" si="55"/>
        <v/>
      </c>
      <c r="H405" s="61" t="str">
        <f t="shared" si="56"/>
        <v/>
      </c>
      <c r="I405" s="40"/>
      <c r="J405" s="62" t="str">
        <f t="shared" si="57"/>
        <v/>
      </c>
      <c r="K405" s="45" t="str">
        <f t="shared" si="58"/>
        <v/>
      </c>
      <c r="L405" s="55"/>
      <c r="M405" s="63">
        <f t="shared" si="59"/>
        <v>0</v>
      </c>
      <c r="N405" s="63">
        <f t="shared" si="60"/>
        <v>0</v>
      </c>
      <c r="O405" s="57"/>
      <c r="P405" s="40"/>
      <c r="Q405" s="60" t="str">
        <f>IF($D405="","",IF($K405&lt;&gt;"Balance Sheet / Clearing","-",IF(SUMPRODUCT(--(LEFT('7. Settlements'!$J$8:$J$107,7)=$A405),--('7. Settlements'!$M$8:$M$107="Tied out"))+SUMPRODUCT(--(LEFT('8. Transfers'!$H$9:$H$108,7)=$A405),--('8. Transfers'!$J$9:$J$108="Matched"))+SUMPRODUCT(--(LEFT('8. Transfers'!$I$9:$I$108,7)=$A405),--('8. Transfers'!$J$9:$J$108="Matched"))+IF($O405="",0,COUNTIFS('9. Payroll Allocation'!$B$234:$B$253,$O405,'9. Payroll Allocation'!$H$234:$H$253,"Tied out"))&gt;0,"Linked","MISSING DETAIL")))</f>
        <v/>
      </c>
      <c r="T405" s="58" t="str">
        <f t="shared" si="61"/>
        <v/>
      </c>
      <c r="U405" s="59" t="str">
        <f>IF($T405="","",COUNTIF($T$6:$T405,"?*"))</f>
        <v/>
      </c>
      <c r="V405" s="58" t="str">
        <f t="shared" si="62"/>
        <v/>
      </c>
    </row>
    <row r="406" spans="1:22" ht="12.95" customHeight="1" x14ac:dyDescent="0.25">
      <c r="A406" s="52" t="str">
        <f t="shared" si="54"/>
        <v/>
      </c>
      <c r="B406" s="37"/>
      <c r="C406" s="28"/>
      <c r="D406" s="35"/>
      <c r="E406" s="38"/>
      <c r="F406" s="38"/>
      <c r="G406" s="52" t="str">
        <f t="shared" si="55"/>
        <v/>
      </c>
      <c r="H406" s="53" t="str">
        <f t="shared" si="56"/>
        <v/>
      </c>
      <c r="I406" s="40"/>
      <c r="J406" s="54" t="str">
        <f t="shared" si="57"/>
        <v/>
      </c>
      <c r="K406" s="41" t="str">
        <f t="shared" si="58"/>
        <v/>
      </c>
      <c r="L406" s="55"/>
      <c r="M406" s="56">
        <f t="shared" si="59"/>
        <v>0</v>
      </c>
      <c r="N406" s="56">
        <f t="shared" si="60"/>
        <v>0</v>
      </c>
      <c r="O406" s="57"/>
      <c r="P406" s="40"/>
      <c r="Q406" s="52" t="str">
        <f>IF($D406="","",IF($K406&lt;&gt;"Balance Sheet / Clearing","-",IF(SUMPRODUCT(--(LEFT('7. Settlements'!$J$8:$J$107,7)=$A406),--('7. Settlements'!$M$8:$M$107="Tied out"))+SUMPRODUCT(--(LEFT('8. Transfers'!$H$9:$H$108,7)=$A406),--('8. Transfers'!$J$9:$J$108="Matched"))+SUMPRODUCT(--(LEFT('8. Transfers'!$I$9:$I$108,7)=$A406),--('8. Transfers'!$J$9:$J$108="Matched"))+IF($O406="",0,COUNTIFS('9. Payroll Allocation'!$B$234:$B$253,$O406,'9. Payroll Allocation'!$H$234:$H$253,"Tied out"))&gt;0,"Linked","MISSING DETAIL")))</f>
        <v/>
      </c>
      <c r="T406" s="58" t="str">
        <f t="shared" si="61"/>
        <v/>
      </c>
      <c r="U406" s="59" t="str">
        <f>IF($T406="","",COUNTIF($T$6:$T406,"?*"))</f>
        <v/>
      </c>
      <c r="V406" s="58" t="str">
        <f t="shared" si="62"/>
        <v/>
      </c>
    </row>
    <row r="407" spans="1:22" ht="12.95" customHeight="1" x14ac:dyDescent="0.25">
      <c r="A407" s="60" t="str">
        <f t="shared" si="54"/>
        <v/>
      </c>
      <c r="B407" s="37"/>
      <c r="C407" s="28"/>
      <c r="D407" s="35"/>
      <c r="E407" s="38"/>
      <c r="F407" s="38"/>
      <c r="G407" s="60" t="str">
        <f t="shared" si="55"/>
        <v/>
      </c>
      <c r="H407" s="61" t="str">
        <f t="shared" si="56"/>
        <v/>
      </c>
      <c r="I407" s="40"/>
      <c r="J407" s="62" t="str">
        <f t="shared" si="57"/>
        <v/>
      </c>
      <c r="K407" s="45" t="str">
        <f t="shared" si="58"/>
        <v/>
      </c>
      <c r="L407" s="55"/>
      <c r="M407" s="63">
        <f t="shared" si="59"/>
        <v>0</v>
      </c>
      <c r="N407" s="63">
        <f t="shared" si="60"/>
        <v>0</v>
      </c>
      <c r="O407" s="57"/>
      <c r="P407" s="40"/>
      <c r="Q407" s="60" t="str">
        <f>IF($D407="","",IF($K407&lt;&gt;"Balance Sheet / Clearing","-",IF(SUMPRODUCT(--(LEFT('7. Settlements'!$J$8:$J$107,7)=$A407),--('7. Settlements'!$M$8:$M$107="Tied out"))+SUMPRODUCT(--(LEFT('8. Transfers'!$H$9:$H$108,7)=$A407),--('8. Transfers'!$J$9:$J$108="Matched"))+SUMPRODUCT(--(LEFT('8. Transfers'!$I$9:$I$108,7)=$A407),--('8. Transfers'!$J$9:$J$108="Matched"))+IF($O407="",0,COUNTIFS('9. Payroll Allocation'!$B$234:$B$253,$O407,'9. Payroll Allocation'!$H$234:$H$253,"Tied out"))&gt;0,"Linked","MISSING DETAIL")))</f>
        <v/>
      </c>
      <c r="T407" s="58" t="str">
        <f t="shared" si="61"/>
        <v/>
      </c>
      <c r="U407" s="59" t="str">
        <f>IF($T407="","",COUNTIF($T$6:$T407,"?*"))</f>
        <v/>
      </c>
      <c r="V407" s="58" t="str">
        <f t="shared" si="62"/>
        <v/>
      </c>
    </row>
    <row r="408" spans="1:22" ht="12.95" customHeight="1" x14ac:dyDescent="0.25">
      <c r="A408" s="52" t="str">
        <f t="shared" si="54"/>
        <v/>
      </c>
      <c r="B408" s="37"/>
      <c r="C408" s="28"/>
      <c r="D408" s="35"/>
      <c r="E408" s="38"/>
      <c r="F408" s="38"/>
      <c r="G408" s="52" t="str">
        <f t="shared" si="55"/>
        <v/>
      </c>
      <c r="H408" s="53" t="str">
        <f t="shared" si="56"/>
        <v/>
      </c>
      <c r="I408" s="40"/>
      <c r="J408" s="54" t="str">
        <f t="shared" si="57"/>
        <v/>
      </c>
      <c r="K408" s="41" t="str">
        <f t="shared" si="58"/>
        <v/>
      </c>
      <c r="L408" s="55"/>
      <c r="M408" s="56">
        <f t="shared" si="59"/>
        <v>0</v>
      </c>
      <c r="N408" s="56">
        <f t="shared" si="60"/>
        <v>0</v>
      </c>
      <c r="O408" s="57"/>
      <c r="P408" s="40"/>
      <c r="Q408" s="52" t="str">
        <f>IF($D408="","",IF($K408&lt;&gt;"Balance Sheet / Clearing","-",IF(SUMPRODUCT(--(LEFT('7. Settlements'!$J$8:$J$107,7)=$A408),--('7. Settlements'!$M$8:$M$107="Tied out"))+SUMPRODUCT(--(LEFT('8. Transfers'!$H$9:$H$108,7)=$A408),--('8. Transfers'!$J$9:$J$108="Matched"))+SUMPRODUCT(--(LEFT('8. Transfers'!$I$9:$I$108,7)=$A408),--('8. Transfers'!$J$9:$J$108="Matched"))+IF($O408="",0,COUNTIFS('9. Payroll Allocation'!$B$234:$B$253,$O408,'9. Payroll Allocation'!$H$234:$H$253,"Tied out"))&gt;0,"Linked","MISSING DETAIL")))</f>
        <v/>
      </c>
      <c r="T408" s="58" t="str">
        <f t="shared" si="61"/>
        <v/>
      </c>
      <c r="U408" s="59" t="str">
        <f>IF($T408="","",COUNTIF($T$6:$T408,"?*"))</f>
        <v/>
      </c>
      <c r="V408" s="58" t="str">
        <f t="shared" si="62"/>
        <v/>
      </c>
    </row>
    <row r="409" spans="1:22" ht="12.95" customHeight="1" x14ac:dyDescent="0.25">
      <c r="A409" s="60" t="str">
        <f t="shared" si="54"/>
        <v/>
      </c>
      <c r="B409" s="37"/>
      <c r="C409" s="28"/>
      <c r="D409" s="35"/>
      <c r="E409" s="38"/>
      <c r="F409" s="38"/>
      <c r="G409" s="60" t="str">
        <f t="shared" si="55"/>
        <v/>
      </c>
      <c r="H409" s="61" t="str">
        <f t="shared" si="56"/>
        <v/>
      </c>
      <c r="I409" s="40"/>
      <c r="J409" s="62" t="str">
        <f t="shared" si="57"/>
        <v/>
      </c>
      <c r="K409" s="45" t="str">
        <f t="shared" si="58"/>
        <v/>
      </c>
      <c r="L409" s="55"/>
      <c r="M409" s="63">
        <f t="shared" si="59"/>
        <v>0</v>
      </c>
      <c r="N409" s="63">
        <f t="shared" si="60"/>
        <v>0</v>
      </c>
      <c r="O409" s="57"/>
      <c r="P409" s="40"/>
      <c r="Q409" s="60" t="str">
        <f>IF($D409="","",IF($K409&lt;&gt;"Balance Sheet / Clearing","-",IF(SUMPRODUCT(--(LEFT('7. Settlements'!$J$8:$J$107,7)=$A409),--('7. Settlements'!$M$8:$M$107="Tied out"))+SUMPRODUCT(--(LEFT('8. Transfers'!$H$9:$H$108,7)=$A409),--('8. Transfers'!$J$9:$J$108="Matched"))+SUMPRODUCT(--(LEFT('8. Transfers'!$I$9:$I$108,7)=$A409),--('8. Transfers'!$J$9:$J$108="Matched"))+IF($O409="",0,COUNTIFS('9. Payroll Allocation'!$B$234:$B$253,$O409,'9. Payroll Allocation'!$H$234:$H$253,"Tied out"))&gt;0,"Linked","MISSING DETAIL")))</f>
        <v/>
      </c>
      <c r="T409" s="58" t="str">
        <f t="shared" si="61"/>
        <v/>
      </c>
      <c r="U409" s="59" t="str">
        <f>IF($T409="","",COUNTIF($T$6:$T409,"?*"))</f>
        <v/>
      </c>
      <c r="V409" s="58" t="str">
        <f t="shared" si="62"/>
        <v/>
      </c>
    </row>
    <row r="410" spans="1:22" ht="12.95" customHeight="1" x14ac:dyDescent="0.25">
      <c r="A410" s="52" t="str">
        <f t="shared" si="54"/>
        <v/>
      </c>
      <c r="B410" s="37"/>
      <c r="C410" s="28"/>
      <c r="D410" s="35"/>
      <c r="E410" s="38"/>
      <c r="F410" s="38"/>
      <c r="G410" s="52" t="str">
        <f t="shared" si="55"/>
        <v/>
      </c>
      <c r="H410" s="53" t="str">
        <f t="shared" si="56"/>
        <v/>
      </c>
      <c r="I410" s="40"/>
      <c r="J410" s="54" t="str">
        <f t="shared" si="57"/>
        <v/>
      </c>
      <c r="K410" s="41" t="str">
        <f t="shared" si="58"/>
        <v/>
      </c>
      <c r="L410" s="55"/>
      <c r="M410" s="56">
        <f t="shared" si="59"/>
        <v>0</v>
      </c>
      <c r="N410" s="56">
        <f t="shared" si="60"/>
        <v>0</v>
      </c>
      <c r="O410" s="57"/>
      <c r="P410" s="40"/>
      <c r="Q410" s="52" t="str">
        <f>IF($D410="","",IF($K410&lt;&gt;"Balance Sheet / Clearing","-",IF(SUMPRODUCT(--(LEFT('7. Settlements'!$J$8:$J$107,7)=$A410),--('7. Settlements'!$M$8:$M$107="Tied out"))+SUMPRODUCT(--(LEFT('8. Transfers'!$H$9:$H$108,7)=$A410),--('8. Transfers'!$J$9:$J$108="Matched"))+SUMPRODUCT(--(LEFT('8. Transfers'!$I$9:$I$108,7)=$A410),--('8. Transfers'!$J$9:$J$108="Matched"))+IF($O410="",0,COUNTIFS('9. Payroll Allocation'!$B$234:$B$253,$O410,'9. Payroll Allocation'!$H$234:$H$253,"Tied out"))&gt;0,"Linked","MISSING DETAIL")))</f>
        <v/>
      </c>
      <c r="T410" s="58" t="str">
        <f t="shared" si="61"/>
        <v/>
      </c>
      <c r="U410" s="59" t="str">
        <f>IF($T410="","",COUNTIF($T$6:$T410,"?*"))</f>
        <v/>
      </c>
      <c r="V410" s="58" t="str">
        <f t="shared" si="62"/>
        <v/>
      </c>
    </row>
    <row r="411" spans="1:22" ht="12.95" customHeight="1" x14ac:dyDescent="0.25">
      <c r="A411" s="60" t="str">
        <f t="shared" si="54"/>
        <v/>
      </c>
      <c r="B411" s="37"/>
      <c r="C411" s="28"/>
      <c r="D411" s="35"/>
      <c r="E411" s="38"/>
      <c r="F411" s="38"/>
      <c r="G411" s="60" t="str">
        <f t="shared" si="55"/>
        <v/>
      </c>
      <c r="H411" s="61" t="str">
        <f t="shared" si="56"/>
        <v/>
      </c>
      <c r="I411" s="40"/>
      <c r="J411" s="62" t="str">
        <f t="shared" si="57"/>
        <v/>
      </c>
      <c r="K411" s="45" t="str">
        <f t="shared" si="58"/>
        <v/>
      </c>
      <c r="L411" s="55"/>
      <c r="M411" s="63">
        <f t="shared" si="59"/>
        <v>0</v>
      </c>
      <c r="N411" s="63">
        <f t="shared" si="60"/>
        <v>0</v>
      </c>
      <c r="O411" s="57"/>
      <c r="P411" s="40"/>
      <c r="Q411" s="60" t="str">
        <f>IF($D411="","",IF($K411&lt;&gt;"Balance Sheet / Clearing","-",IF(SUMPRODUCT(--(LEFT('7. Settlements'!$J$8:$J$107,7)=$A411),--('7. Settlements'!$M$8:$M$107="Tied out"))+SUMPRODUCT(--(LEFT('8. Transfers'!$H$9:$H$108,7)=$A411),--('8. Transfers'!$J$9:$J$108="Matched"))+SUMPRODUCT(--(LEFT('8. Transfers'!$I$9:$I$108,7)=$A411),--('8. Transfers'!$J$9:$J$108="Matched"))+IF($O411="",0,COUNTIFS('9. Payroll Allocation'!$B$234:$B$253,$O411,'9. Payroll Allocation'!$H$234:$H$253,"Tied out"))&gt;0,"Linked","MISSING DETAIL")))</f>
        <v/>
      </c>
      <c r="T411" s="58" t="str">
        <f t="shared" si="61"/>
        <v/>
      </c>
      <c r="U411" s="59" t="str">
        <f>IF($T411="","",COUNTIF($T$6:$T411,"?*"))</f>
        <v/>
      </c>
      <c r="V411" s="58" t="str">
        <f t="shared" si="62"/>
        <v/>
      </c>
    </row>
    <row r="412" spans="1:22" ht="12.95" customHeight="1" x14ac:dyDescent="0.25">
      <c r="A412" s="52" t="str">
        <f t="shared" si="54"/>
        <v/>
      </c>
      <c r="B412" s="37"/>
      <c r="C412" s="28"/>
      <c r="D412" s="35"/>
      <c r="E412" s="38"/>
      <c r="F412" s="38"/>
      <c r="G412" s="52" t="str">
        <f t="shared" si="55"/>
        <v/>
      </c>
      <c r="H412" s="53" t="str">
        <f t="shared" si="56"/>
        <v/>
      </c>
      <c r="I412" s="40"/>
      <c r="J412" s="54" t="str">
        <f t="shared" si="57"/>
        <v/>
      </c>
      <c r="K412" s="41" t="str">
        <f t="shared" si="58"/>
        <v/>
      </c>
      <c r="L412" s="55"/>
      <c r="M412" s="56">
        <f t="shared" si="59"/>
        <v>0</v>
      </c>
      <c r="N412" s="56">
        <f t="shared" si="60"/>
        <v>0</v>
      </c>
      <c r="O412" s="57"/>
      <c r="P412" s="40"/>
      <c r="Q412" s="52" t="str">
        <f>IF($D412="","",IF($K412&lt;&gt;"Balance Sheet / Clearing","-",IF(SUMPRODUCT(--(LEFT('7. Settlements'!$J$8:$J$107,7)=$A412),--('7. Settlements'!$M$8:$M$107="Tied out"))+SUMPRODUCT(--(LEFT('8. Transfers'!$H$9:$H$108,7)=$A412),--('8. Transfers'!$J$9:$J$108="Matched"))+SUMPRODUCT(--(LEFT('8. Transfers'!$I$9:$I$108,7)=$A412),--('8. Transfers'!$J$9:$J$108="Matched"))+IF($O412="",0,COUNTIFS('9. Payroll Allocation'!$B$234:$B$253,$O412,'9. Payroll Allocation'!$H$234:$H$253,"Tied out"))&gt;0,"Linked","MISSING DETAIL")))</f>
        <v/>
      </c>
      <c r="T412" s="58" t="str">
        <f t="shared" si="61"/>
        <v/>
      </c>
      <c r="U412" s="59" t="str">
        <f>IF($T412="","",COUNTIF($T$6:$T412,"?*"))</f>
        <v/>
      </c>
      <c r="V412" s="58" t="str">
        <f t="shared" si="62"/>
        <v/>
      </c>
    </row>
    <row r="413" spans="1:22" ht="12.95" customHeight="1" x14ac:dyDescent="0.25">
      <c r="A413" s="60" t="str">
        <f t="shared" si="54"/>
        <v/>
      </c>
      <c r="B413" s="37"/>
      <c r="C413" s="28"/>
      <c r="D413" s="35"/>
      <c r="E413" s="38"/>
      <c r="F413" s="38"/>
      <c r="G413" s="60" t="str">
        <f t="shared" si="55"/>
        <v/>
      </c>
      <c r="H413" s="61" t="str">
        <f t="shared" si="56"/>
        <v/>
      </c>
      <c r="I413" s="40"/>
      <c r="J413" s="62" t="str">
        <f t="shared" si="57"/>
        <v/>
      </c>
      <c r="K413" s="45" t="str">
        <f t="shared" si="58"/>
        <v/>
      </c>
      <c r="L413" s="55"/>
      <c r="M413" s="63">
        <f t="shared" si="59"/>
        <v>0</v>
      </c>
      <c r="N413" s="63">
        <f t="shared" si="60"/>
        <v>0</v>
      </c>
      <c r="O413" s="57"/>
      <c r="P413" s="40"/>
      <c r="Q413" s="60" t="str">
        <f>IF($D413="","",IF($K413&lt;&gt;"Balance Sheet / Clearing","-",IF(SUMPRODUCT(--(LEFT('7. Settlements'!$J$8:$J$107,7)=$A413),--('7. Settlements'!$M$8:$M$107="Tied out"))+SUMPRODUCT(--(LEFT('8. Transfers'!$H$9:$H$108,7)=$A413),--('8. Transfers'!$J$9:$J$108="Matched"))+SUMPRODUCT(--(LEFT('8. Transfers'!$I$9:$I$108,7)=$A413),--('8. Transfers'!$J$9:$J$108="Matched"))+IF($O413="",0,COUNTIFS('9. Payroll Allocation'!$B$234:$B$253,$O413,'9. Payroll Allocation'!$H$234:$H$253,"Tied out"))&gt;0,"Linked","MISSING DETAIL")))</f>
        <v/>
      </c>
      <c r="T413" s="58" t="str">
        <f t="shared" si="61"/>
        <v/>
      </c>
      <c r="U413" s="59" t="str">
        <f>IF($T413="","",COUNTIF($T$6:$T413,"?*"))</f>
        <v/>
      </c>
      <c r="V413" s="58" t="str">
        <f t="shared" si="62"/>
        <v/>
      </c>
    </row>
    <row r="414" spans="1:22" ht="12.95" customHeight="1" x14ac:dyDescent="0.25">
      <c r="A414" s="52" t="str">
        <f t="shared" si="54"/>
        <v/>
      </c>
      <c r="B414" s="37"/>
      <c r="C414" s="28"/>
      <c r="D414" s="35"/>
      <c r="E414" s="38"/>
      <c r="F414" s="38"/>
      <c r="G414" s="52" t="str">
        <f t="shared" si="55"/>
        <v/>
      </c>
      <c r="H414" s="53" t="str">
        <f t="shared" si="56"/>
        <v/>
      </c>
      <c r="I414" s="40"/>
      <c r="J414" s="54" t="str">
        <f t="shared" si="57"/>
        <v/>
      </c>
      <c r="K414" s="41" t="str">
        <f t="shared" si="58"/>
        <v/>
      </c>
      <c r="L414" s="55"/>
      <c r="M414" s="56">
        <f t="shared" si="59"/>
        <v>0</v>
      </c>
      <c r="N414" s="56">
        <f t="shared" si="60"/>
        <v>0</v>
      </c>
      <c r="O414" s="57"/>
      <c r="P414" s="40"/>
      <c r="Q414" s="52" t="str">
        <f>IF($D414="","",IF($K414&lt;&gt;"Balance Sheet / Clearing","-",IF(SUMPRODUCT(--(LEFT('7. Settlements'!$J$8:$J$107,7)=$A414),--('7. Settlements'!$M$8:$M$107="Tied out"))+SUMPRODUCT(--(LEFT('8. Transfers'!$H$9:$H$108,7)=$A414),--('8. Transfers'!$J$9:$J$108="Matched"))+SUMPRODUCT(--(LEFT('8. Transfers'!$I$9:$I$108,7)=$A414),--('8. Transfers'!$J$9:$J$108="Matched"))+IF($O414="",0,COUNTIFS('9. Payroll Allocation'!$B$234:$B$253,$O414,'9. Payroll Allocation'!$H$234:$H$253,"Tied out"))&gt;0,"Linked","MISSING DETAIL")))</f>
        <v/>
      </c>
      <c r="T414" s="58" t="str">
        <f t="shared" si="61"/>
        <v/>
      </c>
      <c r="U414" s="59" t="str">
        <f>IF($T414="","",COUNTIF($T$6:$T414,"?*"))</f>
        <v/>
      </c>
      <c r="V414" s="58" t="str">
        <f t="shared" si="62"/>
        <v/>
      </c>
    </row>
    <row r="415" spans="1:22" ht="12.95" customHeight="1" x14ac:dyDescent="0.25">
      <c r="A415" s="60" t="str">
        <f t="shared" si="54"/>
        <v/>
      </c>
      <c r="B415" s="37"/>
      <c r="C415" s="28"/>
      <c r="D415" s="35"/>
      <c r="E415" s="38"/>
      <c r="F415" s="38"/>
      <c r="G415" s="60" t="str">
        <f t="shared" si="55"/>
        <v/>
      </c>
      <c r="H415" s="61" t="str">
        <f t="shared" si="56"/>
        <v/>
      </c>
      <c r="I415" s="40"/>
      <c r="J415" s="62" t="str">
        <f t="shared" si="57"/>
        <v/>
      </c>
      <c r="K415" s="45" t="str">
        <f t="shared" si="58"/>
        <v/>
      </c>
      <c r="L415" s="55"/>
      <c r="M415" s="63">
        <f t="shared" si="59"/>
        <v>0</v>
      </c>
      <c r="N415" s="63">
        <f t="shared" si="60"/>
        <v>0</v>
      </c>
      <c r="O415" s="57"/>
      <c r="P415" s="40"/>
      <c r="Q415" s="60" t="str">
        <f>IF($D415="","",IF($K415&lt;&gt;"Balance Sheet / Clearing","-",IF(SUMPRODUCT(--(LEFT('7. Settlements'!$J$8:$J$107,7)=$A415),--('7. Settlements'!$M$8:$M$107="Tied out"))+SUMPRODUCT(--(LEFT('8. Transfers'!$H$9:$H$108,7)=$A415),--('8. Transfers'!$J$9:$J$108="Matched"))+SUMPRODUCT(--(LEFT('8. Transfers'!$I$9:$I$108,7)=$A415),--('8. Transfers'!$J$9:$J$108="Matched"))+IF($O415="",0,COUNTIFS('9. Payroll Allocation'!$B$234:$B$253,$O415,'9. Payroll Allocation'!$H$234:$H$253,"Tied out"))&gt;0,"Linked","MISSING DETAIL")))</f>
        <v/>
      </c>
      <c r="T415" s="58" t="str">
        <f t="shared" si="61"/>
        <v/>
      </c>
      <c r="U415" s="59" t="str">
        <f>IF($T415="","",COUNTIF($T$6:$T415,"?*"))</f>
        <v/>
      </c>
      <c r="V415" s="58" t="str">
        <f t="shared" si="62"/>
        <v/>
      </c>
    </row>
    <row r="416" spans="1:22" ht="12.95" customHeight="1" x14ac:dyDescent="0.25">
      <c r="A416" s="52" t="str">
        <f t="shared" si="54"/>
        <v/>
      </c>
      <c r="B416" s="37"/>
      <c r="C416" s="28"/>
      <c r="D416" s="35"/>
      <c r="E416" s="38"/>
      <c r="F416" s="38"/>
      <c r="G416" s="52" t="str">
        <f t="shared" si="55"/>
        <v/>
      </c>
      <c r="H416" s="53" t="str">
        <f t="shared" si="56"/>
        <v/>
      </c>
      <c r="I416" s="40"/>
      <c r="J416" s="54" t="str">
        <f t="shared" si="57"/>
        <v/>
      </c>
      <c r="K416" s="41" t="str">
        <f t="shared" si="58"/>
        <v/>
      </c>
      <c r="L416" s="55"/>
      <c r="M416" s="56">
        <f t="shared" si="59"/>
        <v>0</v>
      </c>
      <c r="N416" s="56">
        <f t="shared" si="60"/>
        <v>0</v>
      </c>
      <c r="O416" s="57"/>
      <c r="P416" s="40"/>
      <c r="Q416" s="52" t="str">
        <f>IF($D416="","",IF($K416&lt;&gt;"Balance Sheet / Clearing","-",IF(SUMPRODUCT(--(LEFT('7. Settlements'!$J$8:$J$107,7)=$A416),--('7. Settlements'!$M$8:$M$107="Tied out"))+SUMPRODUCT(--(LEFT('8. Transfers'!$H$9:$H$108,7)=$A416),--('8. Transfers'!$J$9:$J$108="Matched"))+SUMPRODUCT(--(LEFT('8. Transfers'!$I$9:$I$108,7)=$A416),--('8. Transfers'!$J$9:$J$108="Matched"))+IF($O416="",0,COUNTIFS('9. Payroll Allocation'!$B$234:$B$253,$O416,'9. Payroll Allocation'!$H$234:$H$253,"Tied out"))&gt;0,"Linked","MISSING DETAIL")))</f>
        <v/>
      </c>
      <c r="T416" s="58" t="str">
        <f t="shared" si="61"/>
        <v/>
      </c>
      <c r="U416" s="59" t="str">
        <f>IF($T416="","",COUNTIF($T$6:$T416,"?*"))</f>
        <v/>
      </c>
      <c r="V416" s="58" t="str">
        <f t="shared" si="62"/>
        <v/>
      </c>
    </row>
    <row r="417" spans="1:22" ht="12.95" customHeight="1" x14ac:dyDescent="0.25">
      <c r="A417" s="60" t="str">
        <f t="shared" si="54"/>
        <v/>
      </c>
      <c r="B417" s="37"/>
      <c r="C417" s="28"/>
      <c r="D417" s="35"/>
      <c r="E417" s="38"/>
      <c r="F417" s="38"/>
      <c r="G417" s="60" t="str">
        <f t="shared" si="55"/>
        <v/>
      </c>
      <c r="H417" s="61" t="str">
        <f t="shared" si="56"/>
        <v/>
      </c>
      <c r="I417" s="40"/>
      <c r="J417" s="62" t="str">
        <f t="shared" si="57"/>
        <v/>
      </c>
      <c r="K417" s="45" t="str">
        <f t="shared" si="58"/>
        <v/>
      </c>
      <c r="L417" s="55"/>
      <c r="M417" s="63">
        <f t="shared" si="59"/>
        <v>0</v>
      </c>
      <c r="N417" s="63">
        <f t="shared" si="60"/>
        <v>0</v>
      </c>
      <c r="O417" s="57"/>
      <c r="P417" s="40"/>
      <c r="Q417" s="60" t="str">
        <f>IF($D417="","",IF($K417&lt;&gt;"Balance Sheet / Clearing","-",IF(SUMPRODUCT(--(LEFT('7. Settlements'!$J$8:$J$107,7)=$A417),--('7. Settlements'!$M$8:$M$107="Tied out"))+SUMPRODUCT(--(LEFT('8. Transfers'!$H$9:$H$108,7)=$A417),--('8. Transfers'!$J$9:$J$108="Matched"))+SUMPRODUCT(--(LEFT('8. Transfers'!$I$9:$I$108,7)=$A417),--('8. Transfers'!$J$9:$J$108="Matched"))+IF($O417="",0,COUNTIFS('9. Payroll Allocation'!$B$234:$B$253,$O417,'9. Payroll Allocation'!$H$234:$H$253,"Tied out"))&gt;0,"Linked","MISSING DETAIL")))</f>
        <v/>
      </c>
      <c r="T417" s="58" t="str">
        <f t="shared" si="61"/>
        <v/>
      </c>
      <c r="U417" s="59" t="str">
        <f>IF($T417="","",COUNTIF($T$6:$T417,"?*"))</f>
        <v/>
      </c>
      <c r="V417" s="58" t="str">
        <f t="shared" si="62"/>
        <v/>
      </c>
    </row>
    <row r="418" spans="1:22" ht="12.95" customHeight="1" x14ac:dyDescent="0.25">
      <c r="A418" s="52" t="str">
        <f t="shared" si="54"/>
        <v/>
      </c>
      <c r="B418" s="37"/>
      <c r="C418" s="28"/>
      <c r="D418" s="35"/>
      <c r="E418" s="38"/>
      <c r="F418" s="38"/>
      <c r="G418" s="52" t="str">
        <f t="shared" si="55"/>
        <v/>
      </c>
      <c r="H418" s="53" t="str">
        <f t="shared" si="56"/>
        <v/>
      </c>
      <c r="I418" s="40"/>
      <c r="J418" s="54" t="str">
        <f t="shared" si="57"/>
        <v/>
      </c>
      <c r="K418" s="41" t="str">
        <f t="shared" si="58"/>
        <v/>
      </c>
      <c r="L418" s="55"/>
      <c r="M418" s="56">
        <f t="shared" si="59"/>
        <v>0</v>
      </c>
      <c r="N418" s="56">
        <f t="shared" si="60"/>
        <v>0</v>
      </c>
      <c r="O418" s="57"/>
      <c r="P418" s="40"/>
      <c r="Q418" s="52" t="str">
        <f>IF($D418="","",IF($K418&lt;&gt;"Balance Sheet / Clearing","-",IF(SUMPRODUCT(--(LEFT('7. Settlements'!$J$8:$J$107,7)=$A418),--('7. Settlements'!$M$8:$M$107="Tied out"))+SUMPRODUCT(--(LEFT('8. Transfers'!$H$9:$H$108,7)=$A418),--('8. Transfers'!$J$9:$J$108="Matched"))+SUMPRODUCT(--(LEFT('8. Transfers'!$I$9:$I$108,7)=$A418),--('8. Transfers'!$J$9:$J$108="Matched"))+IF($O418="",0,COUNTIFS('9. Payroll Allocation'!$B$234:$B$253,$O418,'9. Payroll Allocation'!$H$234:$H$253,"Tied out"))&gt;0,"Linked","MISSING DETAIL")))</f>
        <v/>
      </c>
      <c r="T418" s="58" t="str">
        <f t="shared" si="61"/>
        <v/>
      </c>
      <c r="U418" s="59" t="str">
        <f>IF($T418="","",COUNTIF($T$6:$T418,"?*"))</f>
        <v/>
      </c>
      <c r="V418" s="58" t="str">
        <f t="shared" si="62"/>
        <v/>
      </c>
    </row>
    <row r="419" spans="1:22" ht="12.95" customHeight="1" x14ac:dyDescent="0.25">
      <c r="A419" s="60" t="str">
        <f t="shared" si="54"/>
        <v/>
      </c>
      <c r="B419" s="37"/>
      <c r="C419" s="28"/>
      <c r="D419" s="35"/>
      <c r="E419" s="38"/>
      <c r="F419" s="38"/>
      <c r="G419" s="60" t="str">
        <f t="shared" si="55"/>
        <v/>
      </c>
      <c r="H419" s="61" t="str">
        <f t="shared" si="56"/>
        <v/>
      </c>
      <c r="I419" s="40"/>
      <c r="J419" s="62" t="str">
        <f t="shared" si="57"/>
        <v/>
      </c>
      <c r="K419" s="45" t="str">
        <f t="shared" si="58"/>
        <v/>
      </c>
      <c r="L419" s="55"/>
      <c r="M419" s="63">
        <f t="shared" si="59"/>
        <v>0</v>
      </c>
      <c r="N419" s="63">
        <f t="shared" si="60"/>
        <v>0</v>
      </c>
      <c r="O419" s="57"/>
      <c r="P419" s="40"/>
      <c r="Q419" s="60" t="str">
        <f>IF($D419="","",IF($K419&lt;&gt;"Balance Sheet / Clearing","-",IF(SUMPRODUCT(--(LEFT('7. Settlements'!$J$8:$J$107,7)=$A419),--('7. Settlements'!$M$8:$M$107="Tied out"))+SUMPRODUCT(--(LEFT('8. Transfers'!$H$9:$H$108,7)=$A419),--('8. Transfers'!$J$9:$J$108="Matched"))+SUMPRODUCT(--(LEFT('8. Transfers'!$I$9:$I$108,7)=$A419),--('8. Transfers'!$J$9:$J$108="Matched"))+IF($O419="",0,COUNTIFS('9. Payroll Allocation'!$B$234:$B$253,$O419,'9. Payroll Allocation'!$H$234:$H$253,"Tied out"))&gt;0,"Linked","MISSING DETAIL")))</f>
        <v/>
      </c>
      <c r="T419" s="58" t="str">
        <f t="shared" si="61"/>
        <v/>
      </c>
      <c r="U419" s="59" t="str">
        <f>IF($T419="","",COUNTIF($T$6:$T419,"?*"))</f>
        <v/>
      </c>
      <c r="V419" s="58" t="str">
        <f t="shared" si="62"/>
        <v/>
      </c>
    </row>
    <row r="420" spans="1:22" ht="12.95" customHeight="1" x14ac:dyDescent="0.25">
      <c r="A420" s="52" t="str">
        <f t="shared" si="54"/>
        <v/>
      </c>
      <c r="B420" s="37"/>
      <c r="C420" s="28"/>
      <c r="D420" s="35"/>
      <c r="E420" s="38"/>
      <c r="F420" s="38"/>
      <c r="G420" s="52" t="str">
        <f t="shared" si="55"/>
        <v/>
      </c>
      <c r="H420" s="53" t="str">
        <f t="shared" si="56"/>
        <v/>
      </c>
      <c r="I420" s="40"/>
      <c r="J420" s="54" t="str">
        <f t="shared" si="57"/>
        <v/>
      </c>
      <c r="K420" s="41" t="str">
        <f t="shared" si="58"/>
        <v/>
      </c>
      <c r="L420" s="55"/>
      <c r="M420" s="56">
        <f t="shared" si="59"/>
        <v>0</v>
      </c>
      <c r="N420" s="56">
        <f t="shared" si="60"/>
        <v>0</v>
      </c>
      <c r="O420" s="57"/>
      <c r="P420" s="40"/>
      <c r="Q420" s="52" t="str">
        <f>IF($D420="","",IF($K420&lt;&gt;"Balance Sheet / Clearing","-",IF(SUMPRODUCT(--(LEFT('7. Settlements'!$J$8:$J$107,7)=$A420),--('7. Settlements'!$M$8:$M$107="Tied out"))+SUMPRODUCT(--(LEFT('8. Transfers'!$H$9:$H$108,7)=$A420),--('8. Transfers'!$J$9:$J$108="Matched"))+SUMPRODUCT(--(LEFT('8. Transfers'!$I$9:$I$108,7)=$A420),--('8. Transfers'!$J$9:$J$108="Matched"))+IF($O420="",0,COUNTIFS('9. Payroll Allocation'!$B$234:$B$253,$O420,'9. Payroll Allocation'!$H$234:$H$253,"Tied out"))&gt;0,"Linked","MISSING DETAIL")))</f>
        <v/>
      </c>
      <c r="T420" s="58" t="str">
        <f t="shared" si="61"/>
        <v/>
      </c>
      <c r="U420" s="59" t="str">
        <f>IF($T420="","",COUNTIF($T$6:$T420,"?*"))</f>
        <v/>
      </c>
      <c r="V420" s="58" t="str">
        <f t="shared" si="62"/>
        <v/>
      </c>
    </row>
    <row r="421" spans="1:22" ht="12.95" customHeight="1" x14ac:dyDescent="0.25">
      <c r="A421" s="60" t="str">
        <f t="shared" si="54"/>
        <v/>
      </c>
      <c r="B421" s="37"/>
      <c r="C421" s="28"/>
      <c r="D421" s="35"/>
      <c r="E421" s="38"/>
      <c r="F421" s="38"/>
      <c r="G421" s="60" t="str">
        <f t="shared" si="55"/>
        <v/>
      </c>
      <c r="H421" s="61" t="str">
        <f t="shared" si="56"/>
        <v/>
      </c>
      <c r="I421" s="40"/>
      <c r="J421" s="62" t="str">
        <f t="shared" si="57"/>
        <v/>
      </c>
      <c r="K421" s="45" t="str">
        <f t="shared" si="58"/>
        <v/>
      </c>
      <c r="L421" s="55"/>
      <c r="M421" s="63">
        <f t="shared" si="59"/>
        <v>0</v>
      </c>
      <c r="N421" s="63">
        <f t="shared" si="60"/>
        <v>0</v>
      </c>
      <c r="O421" s="57"/>
      <c r="P421" s="40"/>
      <c r="Q421" s="60" t="str">
        <f>IF($D421="","",IF($K421&lt;&gt;"Balance Sheet / Clearing","-",IF(SUMPRODUCT(--(LEFT('7. Settlements'!$J$8:$J$107,7)=$A421),--('7. Settlements'!$M$8:$M$107="Tied out"))+SUMPRODUCT(--(LEFT('8. Transfers'!$H$9:$H$108,7)=$A421),--('8. Transfers'!$J$9:$J$108="Matched"))+SUMPRODUCT(--(LEFT('8. Transfers'!$I$9:$I$108,7)=$A421),--('8. Transfers'!$J$9:$J$108="Matched"))+IF($O421="",0,COUNTIFS('9. Payroll Allocation'!$B$234:$B$253,$O421,'9. Payroll Allocation'!$H$234:$H$253,"Tied out"))&gt;0,"Linked","MISSING DETAIL")))</f>
        <v/>
      </c>
      <c r="T421" s="58" t="str">
        <f t="shared" si="61"/>
        <v/>
      </c>
      <c r="U421" s="59" t="str">
        <f>IF($T421="","",COUNTIF($T$6:$T421,"?*"))</f>
        <v/>
      </c>
      <c r="V421" s="58" t="str">
        <f t="shared" si="62"/>
        <v/>
      </c>
    </row>
    <row r="422" spans="1:22" ht="12.95" customHeight="1" x14ac:dyDescent="0.25">
      <c r="A422" s="52" t="str">
        <f t="shared" si="54"/>
        <v/>
      </c>
      <c r="B422" s="37"/>
      <c r="C422" s="28"/>
      <c r="D422" s="35"/>
      <c r="E422" s="38"/>
      <c r="F422" s="38"/>
      <c r="G422" s="52" t="str">
        <f t="shared" si="55"/>
        <v/>
      </c>
      <c r="H422" s="53" t="str">
        <f t="shared" si="56"/>
        <v/>
      </c>
      <c r="I422" s="40"/>
      <c r="J422" s="54" t="str">
        <f t="shared" si="57"/>
        <v/>
      </c>
      <c r="K422" s="41" t="str">
        <f t="shared" si="58"/>
        <v/>
      </c>
      <c r="L422" s="55"/>
      <c r="M422" s="56">
        <f t="shared" si="59"/>
        <v>0</v>
      </c>
      <c r="N422" s="56">
        <f t="shared" si="60"/>
        <v>0</v>
      </c>
      <c r="O422" s="57"/>
      <c r="P422" s="40"/>
      <c r="Q422" s="52" t="str">
        <f>IF($D422="","",IF($K422&lt;&gt;"Balance Sheet / Clearing","-",IF(SUMPRODUCT(--(LEFT('7. Settlements'!$J$8:$J$107,7)=$A422),--('7. Settlements'!$M$8:$M$107="Tied out"))+SUMPRODUCT(--(LEFT('8. Transfers'!$H$9:$H$108,7)=$A422),--('8. Transfers'!$J$9:$J$108="Matched"))+SUMPRODUCT(--(LEFT('8. Transfers'!$I$9:$I$108,7)=$A422),--('8. Transfers'!$J$9:$J$108="Matched"))+IF($O422="",0,COUNTIFS('9. Payroll Allocation'!$B$234:$B$253,$O422,'9. Payroll Allocation'!$H$234:$H$253,"Tied out"))&gt;0,"Linked","MISSING DETAIL")))</f>
        <v/>
      </c>
      <c r="T422" s="58" t="str">
        <f t="shared" si="61"/>
        <v/>
      </c>
      <c r="U422" s="59" t="str">
        <f>IF($T422="","",COUNTIF($T$6:$T422,"?*"))</f>
        <v/>
      </c>
      <c r="V422" s="58" t="str">
        <f t="shared" si="62"/>
        <v/>
      </c>
    </row>
    <row r="423" spans="1:22" ht="12.95" customHeight="1" x14ac:dyDescent="0.25">
      <c r="A423" s="60" t="str">
        <f t="shared" si="54"/>
        <v/>
      </c>
      <c r="B423" s="37"/>
      <c r="C423" s="28"/>
      <c r="D423" s="35"/>
      <c r="E423" s="38"/>
      <c r="F423" s="38"/>
      <c r="G423" s="60" t="str">
        <f t="shared" si="55"/>
        <v/>
      </c>
      <c r="H423" s="61" t="str">
        <f t="shared" si="56"/>
        <v/>
      </c>
      <c r="I423" s="40"/>
      <c r="J423" s="62" t="str">
        <f t="shared" si="57"/>
        <v/>
      </c>
      <c r="K423" s="45" t="str">
        <f t="shared" si="58"/>
        <v/>
      </c>
      <c r="L423" s="55"/>
      <c r="M423" s="63">
        <f t="shared" si="59"/>
        <v>0</v>
      </c>
      <c r="N423" s="63">
        <f t="shared" si="60"/>
        <v>0</v>
      </c>
      <c r="O423" s="57"/>
      <c r="P423" s="40"/>
      <c r="Q423" s="60" t="str">
        <f>IF($D423="","",IF($K423&lt;&gt;"Balance Sheet / Clearing","-",IF(SUMPRODUCT(--(LEFT('7. Settlements'!$J$8:$J$107,7)=$A423),--('7. Settlements'!$M$8:$M$107="Tied out"))+SUMPRODUCT(--(LEFT('8. Transfers'!$H$9:$H$108,7)=$A423),--('8. Transfers'!$J$9:$J$108="Matched"))+SUMPRODUCT(--(LEFT('8. Transfers'!$I$9:$I$108,7)=$A423),--('8. Transfers'!$J$9:$J$108="Matched"))+IF($O423="",0,COUNTIFS('9. Payroll Allocation'!$B$234:$B$253,$O423,'9. Payroll Allocation'!$H$234:$H$253,"Tied out"))&gt;0,"Linked","MISSING DETAIL")))</f>
        <v/>
      </c>
      <c r="T423" s="58" t="str">
        <f t="shared" si="61"/>
        <v/>
      </c>
      <c r="U423" s="59" t="str">
        <f>IF($T423="","",COUNTIF($T$6:$T423,"?*"))</f>
        <v/>
      </c>
      <c r="V423" s="58" t="str">
        <f t="shared" si="62"/>
        <v/>
      </c>
    </row>
    <row r="424" spans="1:22" ht="12.95" customHeight="1" x14ac:dyDescent="0.25">
      <c r="A424" s="52" t="str">
        <f t="shared" si="54"/>
        <v/>
      </c>
      <c r="B424" s="37"/>
      <c r="C424" s="28"/>
      <c r="D424" s="35"/>
      <c r="E424" s="38"/>
      <c r="F424" s="38"/>
      <c r="G424" s="52" t="str">
        <f t="shared" si="55"/>
        <v/>
      </c>
      <c r="H424" s="53" t="str">
        <f t="shared" si="56"/>
        <v/>
      </c>
      <c r="I424" s="40"/>
      <c r="J424" s="54" t="str">
        <f t="shared" si="57"/>
        <v/>
      </c>
      <c r="K424" s="41" t="str">
        <f t="shared" si="58"/>
        <v/>
      </c>
      <c r="L424" s="55"/>
      <c r="M424" s="56">
        <f t="shared" si="59"/>
        <v>0</v>
      </c>
      <c r="N424" s="56">
        <f t="shared" si="60"/>
        <v>0</v>
      </c>
      <c r="O424" s="57"/>
      <c r="P424" s="40"/>
      <c r="Q424" s="52" t="str">
        <f>IF($D424="","",IF($K424&lt;&gt;"Balance Sheet / Clearing","-",IF(SUMPRODUCT(--(LEFT('7. Settlements'!$J$8:$J$107,7)=$A424),--('7. Settlements'!$M$8:$M$107="Tied out"))+SUMPRODUCT(--(LEFT('8. Transfers'!$H$9:$H$108,7)=$A424),--('8. Transfers'!$J$9:$J$108="Matched"))+SUMPRODUCT(--(LEFT('8. Transfers'!$I$9:$I$108,7)=$A424),--('8. Transfers'!$J$9:$J$108="Matched"))+IF($O424="",0,COUNTIFS('9. Payroll Allocation'!$B$234:$B$253,$O424,'9. Payroll Allocation'!$H$234:$H$253,"Tied out"))&gt;0,"Linked","MISSING DETAIL")))</f>
        <v/>
      </c>
      <c r="T424" s="58" t="str">
        <f t="shared" si="61"/>
        <v/>
      </c>
      <c r="U424" s="59" t="str">
        <f>IF($T424="","",COUNTIF($T$6:$T424,"?*"))</f>
        <v/>
      </c>
      <c r="V424" s="58" t="str">
        <f t="shared" si="62"/>
        <v/>
      </c>
    </row>
    <row r="425" spans="1:22" ht="12.95" customHeight="1" x14ac:dyDescent="0.25">
      <c r="A425" s="60" t="str">
        <f t="shared" si="54"/>
        <v/>
      </c>
      <c r="B425" s="37"/>
      <c r="C425" s="28"/>
      <c r="D425" s="35"/>
      <c r="E425" s="38"/>
      <c r="F425" s="38"/>
      <c r="G425" s="60" t="str">
        <f t="shared" si="55"/>
        <v/>
      </c>
      <c r="H425" s="61" t="str">
        <f t="shared" si="56"/>
        <v/>
      </c>
      <c r="I425" s="40"/>
      <c r="J425" s="62" t="str">
        <f t="shared" si="57"/>
        <v/>
      </c>
      <c r="K425" s="45" t="str">
        <f t="shared" si="58"/>
        <v/>
      </c>
      <c r="L425" s="55"/>
      <c r="M425" s="63">
        <f t="shared" si="59"/>
        <v>0</v>
      </c>
      <c r="N425" s="63">
        <f t="shared" si="60"/>
        <v>0</v>
      </c>
      <c r="O425" s="57"/>
      <c r="P425" s="40"/>
      <c r="Q425" s="60" t="str">
        <f>IF($D425="","",IF($K425&lt;&gt;"Balance Sheet / Clearing","-",IF(SUMPRODUCT(--(LEFT('7. Settlements'!$J$8:$J$107,7)=$A425),--('7. Settlements'!$M$8:$M$107="Tied out"))+SUMPRODUCT(--(LEFT('8. Transfers'!$H$9:$H$108,7)=$A425),--('8. Transfers'!$J$9:$J$108="Matched"))+SUMPRODUCT(--(LEFT('8. Transfers'!$I$9:$I$108,7)=$A425),--('8. Transfers'!$J$9:$J$108="Matched"))+IF($O425="",0,COUNTIFS('9. Payroll Allocation'!$B$234:$B$253,$O425,'9. Payroll Allocation'!$H$234:$H$253,"Tied out"))&gt;0,"Linked","MISSING DETAIL")))</f>
        <v/>
      </c>
      <c r="T425" s="58" t="str">
        <f t="shared" si="61"/>
        <v/>
      </c>
      <c r="U425" s="59" t="str">
        <f>IF($T425="","",COUNTIF($T$6:$T425,"?*"))</f>
        <v/>
      </c>
      <c r="V425" s="58" t="str">
        <f t="shared" si="62"/>
        <v/>
      </c>
    </row>
    <row r="426" spans="1:22" ht="12.95" customHeight="1" x14ac:dyDescent="0.25">
      <c r="A426" s="52" t="str">
        <f t="shared" si="54"/>
        <v/>
      </c>
      <c r="B426" s="37"/>
      <c r="C426" s="28"/>
      <c r="D426" s="35"/>
      <c r="E426" s="38"/>
      <c r="F426" s="38"/>
      <c r="G426" s="52" t="str">
        <f t="shared" si="55"/>
        <v/>
      </c>
      <c r="H426" s="53" t="str">
        <f t="shared" si="56"/>
        <v/>
      </c>
      <c r="I426" s="40"/>
      <c r="J426" s="54" t="str">
        <f t="shared" si="57"/>
        <v/>
      </c>
      <c r="K426" s="41" t="str">
        <f t="shared" si="58"/>
        <v/>
      </c>
      <c r="L426" s="55"/>
      <c r="M426" s="56">
        <f t="shared" si="59"/>
        <v>0</v>
      </c>
      <c r="N426" s="56">
        <f t="shared" si="60"/>
        <v>0</v>
      </c>
      <c r="O426" s="57"/>
      <c r="P426" s="40"/>
      <c r="Q426" s="52" t="str">
        <f>IF($D426="","",IF($K426&lt;&gt;"Balance Sheet / Clearing","-",IF(SUMPRODUCT(--(LEFT('7. Settlements'!$J$8:$J$107,7)=$A426),--('7. Settlements'!$M$8:$M$107="Tied out"))+SUMPRODUCT(--(LEFT('8. Transfers'!$H$9:$H$108,7)=$A426),--('8. Transfers'!$J$9:$J$108="Matched"))+SUMPRODUCT(--(LEFT('8. Transfers'!$I$9:$I$108,7)=$A426),--('8. Transfers'!$J$9:$J$108="Matched"))+IF($O426="",0,COUNTIFS('9. Payroll Allocation'!$B$234:$B$253,$O426,'9. Payroll Allocation'!$H$234:$H$253,"Tied out"))&gt;0,"Linked","MISSING DETAIL")))</f>
        <v/>
      </c>
      <c r="T426" s="58" t="str">
        <f t="shared" si="61"/>
        <v/>
      </c>
      <c r="U426" s="59" t="str">
        <f>IF($T426="","",COUNTIF($T$6:$T426,"?*"))</f>
        <v/>
      </c>
      <c r="V426" s="58" t="str">
        <f t="shared" si="62"/>
        <v/>
      </c>
    </row>
    <row r="427" spans="1:22" ht="12.95" customHeight="1" x14ac:dyDescent="0.25">
      <c r="A427" s="60" t="str">
        <f t="shared" si="54"/>
        <v/>
      </c>
      <c r="B427" s="37"/>
      <c r="C427" s="28"/>
      <c r="D427" s="35"/>
      <c r="E427" s="38"/>
      <c r="F427" s="38"/>
      <c r="G427" s="60" t="str">
        <f t="shared" si="55"/>
        <v/>
      </c>
      <c r="H427" s="61" t="str">
        <f t="shared" si="56"/>
        <v/>
      </c>
      <c r="I427" s="40"/>
      <c r="J427" s="62" t="str">
        <f t="shared" si="57"/>
        <v/>
      </c>
      <c r="K427" s="45" t="str">
        <f t="shared" si="58"/>
        <v/>
      </c>
      <c r="L427" s="55"/>
      <c r="M427" s="63">
        <f t="shared" si="59"/>
        <v>0</v>
      </c>
      <c r="N427" s="63">
        <f t="shared" si="60"/>
        <v>0</v>
      </c>
      <c r="O427" s="57"/>
      <c r="P427" s="40"/>
      <c r="Q427" s="60" t="str">
        <f>IF($D427="","",IF($K427&lt;&gt;"Balance Sheet / Clearing","-",IF(SUMPRODUCT(--(LEFT('7. Settlements'!$J$8:$J$107,7)=$A427),--('7. Settlements'!$M$8:$M$107="Tied out"))+SUMPRODUCT(--(LEFT('8. Transfers'!$H$9:$H$108,7)=$A427),--('8. Transfers'!$J$9:$J$108="Matched"))+SUMPRODUCT(--(LEFT('8. Transfers'!$I$9:$I$108,7)=$A427),--('8. Transfers'!$J$9:$J$108="Matched"))+IF($O427="",0,COUNTIFS('9. Payroll Allocation'!$B$234:$B$253,$O427,'9. Payroll Allocation'!$H$234:$H$253,"Tied out"))&gt;0,"Linked","MISSING DETAIL")))</f>
        <v/>
      </c>
      <c r="T427" s="58" t="str">
        <f t="shared" si="61"/>
        <v/>
      </c>
      <c r="U427" s="59" t="str">
        <f>IF($T427="","",COUNTIF($T$6:$T427,"?*"))</f>
        <v/>
      </c>
      <c r="V427" s="58" t="str">
        <f t="shared" si="62"/>
        <v/>
      </c>
    </row>
    <row r="428" spans="1:22" ht="12.95" customHeight="1" x14ac:dyDescent="0.25">
      <c r="A428" s="52" t="str">
        <f t="shared" si="54"/>
        <v/>
      </c>
      <c r="B428" s="37"/>
      <c r="C428" s="28"/>
      <c r="D428" s="35"/>
      <c r="E428" s="38"/>
      <c r="F428" s="38"/>
      <c r="G428" s="52" t="str">
        <f t="shared" si="55"/>
        <v/>
      </c>
      <c r="H428" s="53" t="str">
        <f t="shared" si="56"/>
        <v/>
      </c>
      <c r="I428" s="40"/>
      <c r="J428" s="54" t="str">
        <f t="shared" si="57"/>
        <v/>
      </c>
      <c r="K428" s="41" t="str">
        <f t="shared" si="58"/>
        <v/>
      </c>
      <c r="L428" s="55"/>
      <c r="M428" s="56">
        <f t="shared" si="59"/>
        <v>0</v>
      </c>
      <c r="N428" s="56">
        <f t="shared" si="60"/>
        <v>0</v>
      </c>
      <c r="O428" s="57"/>
      <c r="P428" s="40"/>
      <c r="Q428" s="52" t="str">
        <f>IF($D428="","",IF($K428&lt;&gt;"Balance Sheet / Clearing","-",IF(SUMPRODUCT(--(LEFT('7. Settlements'!$J$8:$J$107,7)=$A428),--('7. Settlements'!$M$8:$M$107="Tied out"))+SUMPRODUCT(--(LEFT('8. Transfers'!$H$9:$H$108,7)=$A428),--('8. Transfers'!$J$9:$J$108="Matched"))+SUMPRODUCT(--(LEFT('8. Transfers'!$I$9:$I$108,7)=$A428),--('8. Transfers'!$J$9:$J$108="Matched"))+IF($O428="",0,COUNTIFS('9. Payroll Allocation'!$B$234:$B$253,$O428,'9. Payroll Allocation'!$H$234:$H$253,"Tied out"))&gt;0,"Linked","MISSING DETAIL")))</f>
        <v/>
      </c>
      <c r="T428" s="58" t="str">
        <f t="shared" si="61"/>
        <v/>
      </c>
      <c r="U428" s="59" t="str">
        <f>IF($T428="","",COUNTIF($T$6:$T428,"?*"))</f>
        <v/>
      </c>
      <c r="V428" s="58" t="str">
        <f t="shared" si="62"/>
        <v/>
      </c>
    </row>
    <row r="429" spans="1:22" ht="12.95" customHeight="1" x14ac:dyDescent="0.25">
      <c r="A429" s="60" t="str">
        <f t="shared" si="54"/>
        <v/>
      </c>
      <c r="B429" s="37"/>
      <c r="C429" s="28"/>
      <c r="D429" s="35"/>
      <c r="E429" s="38"/>
      <c r="F429" s="38"/>
      <c r="G429" s="60" t="str">
        <f t="shared" si="55"/>
        <v/>
      </c>
      <c r="H429" s="61" t="str">
        <f t="shared" si="56"/>
        <v/>
      </c>
      <c r="I429" s="40"/>
      <c r="J429" s="62" t="str">
        <f t="shared" si="57"/>
        <v/>
      </c>
      <c r="K429" s="45" t="str">
        <f t="shared" si="58"/>
        <v/>
      </c>
      <c r="L429" s="55"/>
      <c r="M429" s="63">
        <f t="shared" si="59"/>
        <v>0</v>
      </c>
      <c r="N429" s="63">
        <f t="shared" si="60"/>
        <v>0</v>
      </c>
      <c r="O429" s="57"/>
      <c r="P429" s="40"/>
      <c r="Q429" s="60" t="str">
        <f>IF($D429="","",IF($K429&lt;&gt;"Balance Sheet / Clearing","-",IF(SUMPRODUCT(--(LEFT('7. Settlements'!$J$8:$J$107,7)=$A429),--('7. Settlements'!$M$8:$M$107="Tied out"))+SUMPRODUCT(--(LEFT('8. Transfers'!$H$9:$H$108,7)=$A429),--('8. Transfers'!$J$9:$J$108="Matched"))+SUMPRODUCT(--(LEFT('8. Transfers'!$I$9:$I$108,7)=$A429),--('8. Transfers'!$J$9:$J$108="Matched"))+IF($O429="",0,COUNTIFS('9. Payroll Allocation'!$B$234:$B$253,$O429,'9. Payroll Allocation'!$H$234:$H$253,"Tied out"))&gt;0,"Linked","MISSING DETAIL")))</f>
        <v/>
      </c>
      <c r="T429" s="58" t="str">
        <f t="shared" si="61"/>
        <v/>
      </c>
      <c r="U429" s="59" t="str">
        <f>IF($T429="","",COUNTIF($T$6:$T429,"?*"))</f>
        <v/>
      </c>
      <c r="V429" s="58" t="str">
        <f t="shared" si="62"/>
        <v/>
      </c>
    </row>
    <row r="430" spans="1:22" ht="12.95" customHeight="1" x14ac:dyDescent="0.25">
      <c r="A430" s="52" t="str">
        <f t="shared" si="54"/>
        <v/>
      </c>
      <c r="B430" s="37"/>
      <c r="C430" s="28"/>
      <c r="D430" s="35"/>
      <c r="E430" s="38"/>
      <c r="F430" s="38"/>
      <c r="G430" s="52" t="str">
        <f t="shared" si="55"/>
        <v/>
      </c>
      <c r="H430" s="53" t="str">
        <f t="shared" si="56"/>
        <v/>
      </c>
      <c r="I430" s="40"/>
      <c r="J430" s="54" t="str">
        <f t="shared" si="57"/>
        <v/>
      </c>
      <c r="K430" s="41" t="str">
        <f t="shared" si="58"/>
        <v/>
      </c>
      <c r="L430" s="55"/>
      <c r="M430" s="56">
        <f t="shared" si="59"/>
        <v>0</v>
      </c>
      <c r="N430" s="56">
        <f t="shared" si="60"/>
        <v>0</v>
      </c>
      <c r="O430" s="57"/>
      <c r="P430" s="40"/>
      <c r="Q430" s="52" t="str">
        <f>IF($D430="","",IF($K430&lt;&gt;"Balance Sheet / Clearing","-",IF(SUMPRODUCT(--(LEFT('7. Settlements'!$J$8:$J$107,7)=$A430),--('7. Settlements'!$M$8:$M$107="Tied out"))+SUMPRODUCT(--(LEFT('8. Transfers'!$H$9:$H$108,7)=$A430),--('8. Transfers'!$J$9:$J$108="Matched"))+SUMPRODUCT(--(LEFT('8. Transfers'!$I$9:$I$108,7)=$A430),--('8. Transfers'!$J$9:$J$108="Matched"))+IF($O430="",0,COUNTIFS('9. Payroll Allocation'!$B$234:$B$253,$O430,'9. Payroll Allocation'!$H$234:$H$253,"Tied out"))&gt;0,"Linked","MISSING DETAIL")))</f>
        <v/>
      </c>
      <c r="T430" s="58" t="str">
        <f t="shared" si="61"/>
        <v/>
      </c>
      <c r="U430" s="59" t="str">
        <f>IF($T430="","",COUNTIF($T$6:$T430,"?*"))</f>
        <v/>
      </c>
      <c r="V430" s="58" t="str">
        <f t="shared" si="62"/>
        <v/>
      </c>
    </row>
    <row r="431" spans="1:22" ht="12.95" customHeight="1" x14ac:dyDescent="0.25">
      <c r="A431" s="60" t="str">
        <f t="shared" si="54"/>
        <v/>
      </c>
      <c r="B431" s="37"/>
      <c r="C431" s="28"/>
      <c r="D431" s="35"/>
      <c r="E431" s="38"/>
      <c r="F431" s="38"/>
      <c r="G431" s="60" t="str">
        <f t="shared" si="55"/>
        <v/>
      </c>
      <c r="H431" s="61" t="str">
        <f t="shared" si="56"/>
        <v/>
      </c>
      <c r="I431" s="40"/>
      <c r="J431" s="62" t="str">
        <f t="shared" si="57"/>
        <v/>
      </c>
      <c r="K431" s="45" t="str">
        <f t="shared" si="58"/>
        <v/>
      </c>
      <c r="L431" s="55"/>
      <c r="M431" s="63">
        <f t="shared" si="59"/>
        <v>0</v>
      </c>
      <c r="N431" s="63">
        <f t="shared" si="60"/>
        <v>0</v>
      </c>
      <c r="O431" s="57"/>
      <c r="P431" s="40"/>
      <c r="Q431" s="60" t="str">
        <f>IF($D431="","",IF($K431&lt;&gt;"Balance Sheet / Clearing","-",IF(SUMPRODUCT(--(LEFT('7. Settlements'!$J$8:$J$107,7)=$A431),--('7. Settlements'!$M$8:$M$107="Tied out"))+SUMPRODUCT(--(LEFT('8. Transfers'!$H$9:$H$108,7)=$A431),--('8. Transfers'!$J$9:$J$108="Matched"))+SUMPRODUCT(--(LEFT('8. Transfers'!$I$9:$I$108,7)=$A431),--('8. Transfers'!$J$9:$J$108="Matched"))+IF($O431="",0,COUNTIFS('9. Payroll Allocation'!$B$234:$B$253,$O431,'9. Payroll Allocation'!$H$234:$H$253,"Tied out"))&gt;0,"Linked","MISSING DETAIL")))</f>
        <v/>
      </c>
      <c r="T431" s="58" t="str">
        <f t="shared" si="61"/>
        <v/>
      </c>
      <c r="U431" s="59" t="str">
        <f>IF($T431="","",COUNTIF($T$6:$T431,"?*"))</f>
        <v/>
      </c>
      <c r="V431" s="58" t="str">
        <f t="shared" si="62"/>
        <v/>
      </c>
    </row>
    <row r="432" spans="1:22" ht="12.95" customHeight="1" x14ac:dyDescent="0.25">
      <c r="A432" s="52" t="str">
        <f t="shared" si="54"/>
        <v/>
      </c>
      <c r="B432" s="37"/>
      <c r="C432" s="28"/>
      <c r="D432" s="35"/>
      <c r="E432" s="38"/>
      <c r="F432" s="38"/>
      <c r="G432" s="52" t="str">
        <f t="shared" si="55"/>
        <v/>
      </c>
      <c r="H432" s="53" t="str">
        <f t="shared" si="56"/>
        <v/>
      </c>
      <c r="I432" s="40"/>
      <c r="J432" s="54" t="str">
        <f t="shared" si="57"/>
        <v/>
      </c>
      <c r="K432" s="41" t="str">
        <f t="shared" si="58"/>
        <v/>
      </c>
      <c r="L432" s="55"/>
      <c r="M432" s="56">
        <f t="shared" si="59"/>
        <v>0</v>
      </c>
      <c r="N432" s="56">
        <f t="shared" si="60"/>
        <v>0</v>
      </c>
      <c r="O432" s="57"/>
      <c r="P432" s="40"/>
      <c r="Q432" s="52" t="str">
        <f>IF($D432="","",IF($K432&lt;&gt;"Balance Sheet / Clearing","-",IF(SUMPRODUCT(--(LEFT('7. Settlements'!$J$8:$J$107,7)=$A432),--('7. Settlements'!$M$8:$M$107="Tied out"))+SUMPRODUCT(--(LEFT('8. Transfers'!$H$9:$H$108,7)=$A432),--('8. Transfers'!$J$9:$J$108="Matched"))+SUMPRODUCT(--(LEFT('8. Transfers'!$I$9:$I$108,7)=$A432),--('8. Transfers'!$J$9:$J$108="Matched"))+IF($O432="",0,COUNTIFS('9. Payroll Allocation'!$B$234:$B$253,$O432,'9. Payroll Allocation'!$H$234:$H$253,"Tied out"))&gt;0,"Linked","MISSING DETAIL")))</f>
        <v/>
      </c>
      <c r="T432" s="58" t="str">
        <f t="shared" si="61"/>
        <v/>
      </c>
      <c r="U432" s="59" t="str">
        <f>IF($T432="","",COUNTIF($T$6:$T432,"?*"))</f>
        <v/>
      </c>
      <c r="V432" s="58" t="str">
        <f t="shared" si="62"/>
        <v/>
      </c>
    </row>
    <row r="433" spans="1:22" ht="12.95" customHeight="1" x14ac:dyDescent="0.25">
      <c r="A433" s="60" t="str">
        <f t="shared" si="54"/>
        <v/>
      </c>
      <c r="B433" s="37"/>
      <c r="C433" s="28"/>
      <c r="D433" s="35"/>
      <c r="E433" s="38"/>
      <c r="F433" s="38"/>
      <c r="G433" s="60" t="str">
        <f t="shared" si="55"/>
        <v/>
      </c>
      <c r="H433" s="61" t="str">
        <f t="shared" si="56"/>
        <v/>
      </c>
      <c r="I433" s="40"/>
      <c r="J433" s="62" t="str">
        <f t="shared" si="57"/>
        <v/>
      </c>
      <c r="K433" s="45" t="str">
        <f t="shared" si="58"/>
        <v/>
      </c>
      <c r="L433" s="55"/>
      <c r="M433" s="63">
        <f t="shared" si="59"/>
        <v>0</v>
      </c>
      <c r="N433" s="63">
        <f t="shared" si="60"/>
        <v>0</v>
      </c>
      <c r="O433" s="57"/>
      <c r="P433" s="40"/>
      <c r="Q433" s="60" t="str">
        <f>IF($D433="","",IF($K433&lt;&gt;"Balance Sheet / Clearing","-",IF(SUMPRODUCT(--(LEFT('7. Settlements'!$J$8:$J$107,7)=$A433),--('7. Settlements'!$M$8:$M$107="Tied out"))+SUMPRODUCT(--(LEFT('8. Transfers'!$H$9:$H$108,7)=$A433),--('8. Transfers'!$J$9:$J$108="Matched"))+SUMPRODUCT(--(LEFT('8. Transfers'!$I$9:$I$108,7)=$A433),--('8. Transfers'!$J$9:$J$108="Matched"))+IF($O433="",0,COUNTIFS('9. Payroll Allocation'!$B$234:$B$253,$O433,'9. Payroll Allocation'!$H$234:$H$253,"Tied out"))&gt;0,"Linked","MISSING DETAIL")))</f>
        <v/>
      </c>
      <c r="T433" s="58" t="str">
        <f t="shared" si="61"/>
        <v/>
      </c>
      <c r="U433" s="59" t="str">
        <f>IF($T433="","",COUNTIF($T$6:$T433,"?*"))</f>
        <v/>
      </c>
      <c r="V433" s="58" t="str">
        <f t="shared" si="62"/>
        <v/>
      </c>
    </row>
    <row r="434" spans="1:22" ht="12.95" customHeight="1" x14ac:dyDescent="0.25">
      <c r="A434" s="52" t="str">
        <f t="shared" si="54"/>
        <v/>
      </c>
      <c r="B434" s="37"/>
      <c r="C434" s="28"/>
      <c r="D434" s="35"/>
      <c r="E434" s="38"/>
      <c r="F434" s="38"/>
      <c r="G434" s="52" t="str">
        <f t="shared" si="55"/>
        <v/>
      </c>
      <c r="H434" s="53" t="str">
        <f t="shared" si="56"/>
        <v/>
      </c>
      <c r="I434" s="40"/>
      <c r="J434" s="54" t="str">
        <f t="shared" si="57"/>
        <v/>
      </c>
      <c r="K434" s="41" t="str">
        <f t="shared" si="58"/>
        <v/>
      </c>
      <c r="L434" s="55"/>
      <c r="M434" s="56">
        <f t="shared" si="59"/>
        <v>0</v>
      </c>
      <c r="N434" s="56">
        <f t="shared" si="60"/>
        <v>0</v>
      </c>
      <c r="O434" s="57"/>
      <c r="P434" s="40"/>
      <c r="Q434" s="52" t="str">
        <f>IF($D434="","",IF($K434&lt;&gt;"Balance Sheet / Clearing","-",IF(SUMPRODUCT(--(LEFT('7. Settlements'!$J$8:$J$107,7)=$A434),--('7. Settlements'!$M$8:$M$107="Tied out"))+SUMPRODUCT(--(LEFT('8. Transfers'!$H$9:$H$108,7)=$A434),--('8. Transfers'!$J$9:$J$108="Matched"))+SUMPRODUCT(--(LEFT('8. Transfers'!$I$9:$I$108,7)=$A434),--('8. Transfers'!$J$9:$J$108="Matched"))+IF($O434="",0,COUNTIFS('9. Payroll Allocation'!$B$234:$B$253,$O434,'9. Payroll Allocation'!$H$234:$H$253,"Tied out"))&gt;0,"Linked","MISSING DETAIL")))</f>
        <v/>
      </c>
      <c r="T434" s="58" t="str">
        <f t="shared" si="61"/>
        <v/>
      </c>
      <c r="U434" s="59" t="str">
        <f>IF($T434="","",COUNTIF($T$6:$T434,"?*"))</f>
        <v/>
      </c>
      <c r="V434" s="58" t="str">
        <f t="shared" si="62"/>
        <v/>
      </c>
    </row>
    <row r="435" spans="1:22" ht="12.95" customHeight="1" x14ac:dyDescent="0.25">
      <c r="A435" s="60" t="str">
        <f t="shared" si="54"/>
        <v/>
      </c>
      <c r="B435" s="37"/>
      <c r="C435" s="28"/>
      <c r="D435" s="35"/>
      <c r="E435" s="38"/>
      <c r="F435" s="38"/>
      <c r="G435" s="60" t="str">
        <f t="shared" si="55"/>
        <v/>
      </c>
      <c r="H435" s="61" t="str">
        <f t="shared" si="56"/>
        <v/>
      </c>
      <c r="I435" s="40"/>
      <c r="J435" s="62" t="str">
        <f t="shared" si="57"/>
        <v/>
      </c>
      <c r="K435" s="45" t="str">
        <f t="shared" si="58"/>
        <v/>
      </c>
      <c r="L435" s="55"/>
      <c r="M435" s="63">
        <f t="shared" si="59"/>
        <v>0</v>
      </c>
      <c r="N435" s="63">
        <f t="shared" si="60"/>
        <v>0</v>
      </c>
      <c r="O435" s="57"/>
      <c r="P435" s="40"/>
      <c r="Q435" s="60" t="str">
        <f>IF($D435="","",IF($K435&lt;&gt;"Balance Sheet / Clearing","-",IF(SUMPRODUCT(--(LEFT('7. Settlements'!$J$8:$J$107,7)=$A435),--('7. Settlements'!$M$8:$M$107="Tied out"))+SUMPRODUCT(--(LEFT('8. Transfers'!$H$9:$H$108,7)=$A435),--('8. Transfers'!$J$9:$J$108="Matched"))+SUMPRODUCT(--(LEFT('8. Transfers'!$I$9:$I$108,7)=$A435),--('8. Transfers'!$J$9:$J$108="Matched"))+IF($O435="",0,COUNTIFS('9. Payroll Allocation'!$B$234:$B$253,$O435,'9. Payroll Allocation'!$H$234:$H$253,"Tied out"))&gt;0,"Linked","MISSING DETAIL")))</f>
        <v/>
      </c>
      <c r="T435" s="58" t="str">
        <f t="shared" si="61"/>
        <v/>
      </c>
      <c r="U435" s="59" t="str">
        <f>IF($T435="","",COUNTIF($T$6:$T435,"?*"))</f>
        <v/>
      </c>
      <c r="V435" s="58" t="str">
        <f t="shared" si="62"/>
        <v/>
      </c>
    </row>
    <row r="436" spans="1:22" ht="12.95" customHeight="1" x14ac:dyDescent="0.25">
      <c r="A436" s="52" t="str">
        <f t="shared" si="54"/>
        <v/>
      </c>
      <c r="B436" s="37"/>
      <c r="C436" s="28"/>
      <c r="D436" s="35"/>
      <c r="E436" s="38"/>
      <c r="F436" s="38"/>
      <c r="G436" s="52" t="str">
        <f t="shared" si="55"/>
        <v/>
      </c>
      <c r="H436" s="53" t="str">
        <f t="shared" si="56"/>
        <v/>
      </c>
      <c r="I436" s="40"/>
      <c r="J436" s="54" t="str">
        <f t="shared" si="57"/>
        <v/>
      </c>
      <c r="K436" s="41" t="str">
        <f t="shared" si="58"/>
        <v/>
      </c>
      <c r="L436" s="55"/>
      <c r="M436" s="56">
        <f t="shared" si="59"/>
        <v>0</v>
      </c>
      <c r="N436" s="56">
        <f t="shared" si="60"/>
        <v>0</v>
      </c>
      <c r="O436" s="57"/>
      <c r="P436" s="40"/>
      <c r="Q436" s="52" t="str">
        <f>IF($D436="","",IF($K436&lt;&gt;"Balance Sheet / Clearing","-",IF(SUMPRODUCT(--(LEFT('7. Settlements'!$J$8:$J$107,7)=$A436),--('7. Settlements'!$M$8:$M$107="Tied out"))+SUMPRODUCT(--(LEFT('8. Transfers'!$H$9:$H$108,7)=$A436),--('8. Transfers'!$J$9:$J$108="Matched"))+SUMPRODUCT(--(LEFT('8. Transfers'!$I$9:$I$108,7)=$A436),--('8. Transfers'!$J$9:$J$108="Matched"))+IF($O436="",0,COUNTIFS('9. Payroll Allocation'!$B$234:$B$253,$O436,'9. Payroll Allocation'!$H$234:$H$253,"Tied out"))&gt;0,"Linked","MISSING DETAIL")))</f>
        <v/>
      </c>
      <c r="T436" s="58" t="str">
        <f t="shared" si="61"/>
        <v/>
      </c>
      <c r="U436" s="59" t="str">
        <f>IF($T436="","",COUNTIF($T$6:$T436,"?*"))</f>
        <v/>
      </c>
      <c r="V436" s="58" t="str">
        <f t="shared" si="62"/>
        <v/>
      </c>
    </row>
    <row r="437" spans="1:22" ht="12.95" customHeight="1" x14ac:dyDescent="0.25">
      <c r="A437" s="60" t="str">
        <f t="shared" si="54"/>
        <v/>
      </c>
      <c r="B437" s="37"/>
      <c r="C437" s="28"/>
      <c r="D437" s="35"/>
      <c r="E437" s="38"/>
      <c r="F437" s="38"/>
      <c r="G437" s="60" t="str">
        <f t="shared" si="55"/>
        <v/>
      </c>
      <c r="H437" s="61" t="str">
        <f t="shared" si="56"/>
        <v/>
      </c>
      <c r="I437" s="40"/>
      <c r="J437" s="62" t="str">
        <f t="shared" si="57"/>
        <v/>
      </c>
      <c r="K437" s="45" t="str">
        <f t="shared" si="58"/>
        <v/>
      </c>
      <c r="L437" s="55"/>
      <c r="M437" s="63">
        <f t="shared" si="59"/>
        <v>0</v>
      </c>
      <c r="N437" s="63">
        <f t="shared" si="60"/>
        <v>0</v>
      </c>
      <c r="O437" s="57"/>
      <c r="P437" s="40"/>
      <c r="Q437" s="60" t="str">
        <f>IF($D437="","",IF($K437&lt;&gt;"Balance Sheet / Clearing","-",IF(SUMPRODUCT(--(LEFT('7. Settlements'!$J$8:$J$107,7)=$A437),--('7. Settlements'!$M$8:$M$107="Tied out"))+SUMPRODUCT(--(LEFT('8. Transfers'!$H$9:$H$108,7)=$A437),--('8. Transfers'!$J$9:$J$108="Matched"))+SUMPRODUCT(--(LEFT('8. Transfers'!$I$9:$I$108,7)=$A437),--('8. Transfers'!$J$9:$J$108="Matched"))+IF($O437="",0,COUNTIFS('9. Payroll Allocation'!$B$234:$B$253,$O437,'9. Payroll Allocation'!$H$234:$H$253,"Tied out"))&gt;0,"Linked","MISSING DETAIL")))</f>
        <v/>
      </c>
      <c r="T437" s="58" t="str">
        <f t="shared" si="61"/>
        <v/>
      </c>
      <c r="U437" s="59" t="str">
        <f>IF($T437="","",COUNTIF($T$6:$T437,"?*"))</f>
        <v/>
      </c>
      <c r="V437" s="58" t="str">
        <f t="shared" si="62"/>
        <v/>
      </c>
    </row>
    <row r="438" spans="1:22" ht="12.95" customHeight="1" x14ac:dyDescent="0.25">
      <c r="A438" s="52" t="str">
        <f t="shared" si="54"/>
        <v/>
      </c>
      <c r="B438" s="37"/>
      <c r="C438" s="28"/>
      <c r="D438" s="35"/>
      <c r="E438" s="38"/>
      <c r="F438" s="38"/>
      <c r="G438" s="52" t="str">
        <f t="shared" si="55"/>
        <v/>
      </c>
      <c r="H438" s="53" t="str">
        <f t="shared" si="56"/>
        <v/>
      </c>
      <c r="I438" s="40"/>
      <c r="J438" s="54" t="str">
        <f t="shared" si="57"/>
        <v/>
      </c>
      <c r="K438" s="41" t="str">
        <f t="shared" si="58"/>
        <v/>
      </c>
      <c r="L438" s="55"/>
      <c r="M438" s="56">
        <f t="shared" si="59"/>
        <v>0</v>
      </c>
      <c r="N438" s="56">
        <f t="shared" si="60"/>
        <v>0</v>
      </c>
      <c r="O438" s="57"/>
      <c r="P438" s="40"/>
      <c r="Q438" s="52" t="str">
        <f>IF($D438="","",IF($K438&lt;&gt;"Balance Sheet / Clearing","-",IF(SUMPRODUCT(--(LEFT('7. Settlements'!$J$8:$J$107,7)=$A438),--('7. Settlements'!$M$8:$M$107="Tied out"))+SUMPRODUCT(--(LEFT('8. Transfers'!$H$9:$H$108,7)=$A438),--('8. Transfers'!$J$9:$J$108="Matched"))+SUMPRODUCT(--(LEFT('8. Transfers'!$I$9:$I$108,7)=$A438),--('8. Transfers'!$J$9:$J$108="Matched"))+IF($O438="",0,COUNTIFS('9. Payroll Allocation'!$B$234:$B$253,$O438,'9. Payroll Allocation'!$H$234:$H$253,"Tied out"))&gt;0,"Linked","MISSING DETAIL")))</f>
        <v/>
      </c>
      <c r="T438" s="58" t="str">
        <f t="shared" si="61"/>
        <v/>
      </c>
      <c r="U438" s="59" t="str">
        <f>IF($T438="","",COUNTIF($T$6:$T438,"?*"))</f>
        <v/>
      </c>
      <c r="V438" s="58" t="str">
        <f t="shared" si="62"/>
        <v/>
      </c>
    </row>
    <row r="439" spans="1:22" ht="12.95" customHeight="1" x14ac:dyDescent="0.25">
      <c r="A439" s="60" t="str">
        <f t="shared" si="54"/>
        <v/>
      </c>
      <c r="B439" s="37"/>
      <c r="C439" s="28"/>
      <c r="D439" s="35"/>
      <c r="E439" s="38"/>
      <c r="F439" s="38"/>
      <c r="G439" s="60" t="str">
        <f t="shared" si="55"/>
        <v/>
      </c>
      <c r="H439" s="61" t="str">
        <f t="shared" si="56"/>
        <v/>
      </c>
      <c r="I439" s="40"/>
      <c r="J439" s="62" t="str">
        <f t="shared" si="57"/>
        <v/>
      </c>
      <c r="K439" s="45" t="str">
        <f t="shared" si="58"/>
        <v/>
      </c>
      <c r="L439" s="55"/>
      <c r="M439" s="63">
        <f t="shared" si="59"/>
        <v>0</v>
      </c>
      <c r="N439" s="63">
        <f t="shared" si="60"/>
        <v>0</v>
      </c>
      <c r="O439" s="57"/>
      <c r="P439" s="40"/>
      <c r="Q439" s="60" t="str">
        <f>IF($D439="","",IF($K439&lt;&gt;"Balance Sheet / Clearing","-",IF(SUMPRODUCT(--(LEFT('7. Settlements'!$J$8:$J$107,7)=$A439),--('7. Settlements'!$M$8:$M$107="Tied out"))+SUMPRODUCT(--(LEFT('8. Transfers'!$H$9:$H$108,7)=$A439),--('8. Transfers'!$J$9:$J$108="Matched"))+SUMPRODUCT(--(LEFT('8. Transfers'!$I$9:$I$108,7)=$A439),--('8. Transfers'!$J$9:$J$108="Matched"))+IF($O439="",0,COUNTIFS('9. Payroll Allocation'!$B$234:$B$253,$O439,'9. Payroll Allocation'!$H$234:$H$253,"Tied out"))&gt;0,"Linked","MISSING DETAIL")))</f>
        <v/>
      </c>
      <c r="T439" s="58" t="str">
        <f t="shared" si="61"/>
        <v/>
      </c>
      <c r="U439" s="59" t="str">
        <f>IF($T439="","",COUNTIF($T$6:$T439,"?*"))</f>
        <v/>
      </c>
      <c r="V439" s="58" t="str">
        <f t="shared" si="62"/>
        <v/>
      </c>
    </row>
    <row r="440" spans="1:22" ht="12.95" customHeight="1" x14ac:dyDescent="0.25">
      <c r="A440" s="52" t="str">
        <f t="shared" si="54"/>
        <v/>
      </c>
      <c r="B440" s="37"/>
      <c r="C440" s="28"/>
      <c r="D440" s="35"/>
      <c r="E440" s="38"/>
      <c r="F440" s="38"/>
      <c r="G440" s="52" t="str">
        <f t="shared" si="55"/>
        <v/>
      </c>
      <c r="H440" s="53" t="str">
        <f t="shared" si="56"/>
        <v/>
      </c>
      <c r="I440" s="40"/>
      <c r="J440" s="54" t="str">
        <f t="shared" si="57"/>
        <v/>
      </c>
      <c r="K440" s="41" t="str">
        <f t="shared" si="58"/>
        <v/>
      </c>
      <c r="L440" s="55"/>
      <c r="M440" s="56">
        <f t="shared" si="59"/>
        <v>0</v>
      </c>
      <c r="N440" s="56">
        <f t="shared" si="60"/>
        <v>0</v>
      </c>
      <c r="O440" s="57"/>
      <c r="P440" s="40"/>
      <c r="Q440" s="52" t="str">
        <f>IF($D440="","",IF($K440&lt;&gt;"Balance Sheet / Clearing","-",IF(SUMPRODUCT(--(LEFT('7. Settlements'!$J$8:$J$107,7)=$A440),--('7. Settlements'!$M$8:$M$107="Tied out"))+SUMPRODUCT(--(LEFT('8. Transfers'!$H$9:$H$108,7)=$A440),--('8. Transfers'!$J$9:$J$108="Matched"))+SUMPRODUCT(--(LEFT('8. Transfers'!$I$9:$I$108,7)=$A440),--('8. Transfers'!$J$9:$J$108="Matched"))+IF($O440="",0,COUNTIFS('9. Payroll Allocation'!$B$234:$B$253,$O440,'9. Payroll Allocation'!$H$234:$H$253,"Tied out"))&gt;0,"Linked","MISSING DETAIL")))</f>
        <v/>
      </c>
      <c r="T440" s="58" t="str">
        <f t="shared" si="61"/>
        <v/>
      </c>
      <c r="U440" s="59" t="str">
        <f>IF($T440="","",COUNTIF($T$6:$T440,"?*"))</f>
        <v/>
      </c>
      <c r="V440" s="58" t="str">
        <f t="shared" si="62"/>
        <v/>
      </c>
    </row>
    <row r="441" spans="1:22" ht="12.95" customHeight="1" x14ac:dyDescent="0.25">
      <c r="A441" s="60" t="str">
        <f t="shared" si="54"/>
        <v/>
      </c>
      <c r="B441" s="37"/>
      <c r="C441" s="28"/>
      <c r="D441" s="35"/>
      <c r="E441" s="38"/>
      <c r="F441" s="38"/>
      <c r="G441" s="60" t="str">
        <f t="shared" si="55"/>
        <v/>
      </c>
      <c r="H441" s="61" t="str">
        <f t="shared" si="56"/>
        <v/>
      </c>
      <c r="I441" s="40"/>
      <c r="J441" s="62" t="str">
        <f t="shared" si="57"/>
        <v/>
      </c>
      <c r="K441" s="45" t="str">
        <f t="shared" si="58"/>
        <v/>
      </c>
      <c r="L441" s="55"/>
      <c r="M441" s="63">
        <f t="shared" si="59"/>
        <v>0</v>
      </c>
      <c r="N441" s="63">
        <f t="shared" si="60"/>
        <v>0</v>
      </c>
      <c r="O441" s="57"/>
      <c r="P441" s="40"/>
      <c r="Q441" s="60" t="str">
        <f>IF($D441="","",IF($K441&lt;&gt;"Balance Sheet / Clearing","-",IF(SUMPRODUCT(--(LEFT('7. Settlements'!$J$8:$J$107,7)=$A441),--('7. Settlements'!$M$8:$M$107="Tied out"))+SUMPRODUCT(--(LEFT('8. Transfers'!$H$9:$H$108,7)=$A441),--('8. Transfers'!$J$9:$J$108="Matched"))+SUMPRODUCT(--(LEFT('8. Transfers'!$I$9:$I$108,7)=$A441),--('8. Transfers'!$J$9:$J$108="Matched"))+IF($O441="",0,COUNTIFS('9. Payroll Allocation'!$B$234:$B$253,$O441,'9. Payroll Allocation'!$H$234:$H$253,"Tied out"))&gt;0,"Linked","MISSING DETAIL")))</f>
        <v/>
      </c>
      <c r="T441" s="58" t="str">
        <f t="shared" si="61"/>
        <v/>
      </c>
      <c r="U441" s="59" t="str">
        <f>IF($T441="","",COUNTIF($T$6:$T441,"?*"))</f>
        <v/>
      </c>
      <c r="V441" s="58" t="str">
        <f t="shared" si="62"/>
        <v/>
      </c>
    </row>
    <row r="442" spans="1:22" ht="12.95" customHeight="1" x14ac:dyDescent="0.25">
      <c r="A442" s="52" t="str">
        <f t="shared" si="54"/>
        <v/>
      </c>
      <c r="B442" s="37"/>
      <c r="C442" s="28"/>
      <c r="D442" s="35"/>
      <c r="E442" s="38"/>
      <c r="F442" s="38"/>
      <c r="G442" s="52" t="str">
        <f t="shared" si="55"/>
        <v/>
      </c>
      <c r="H442" s="53" t="str">
        <f t="shared" si="56"/>
        <v/>
      </c>
      <c r="I442" s="40"/>
      <c r="J442" s="54" t="str">
        <f t="shared" si="57"/>
        <v/>
      </c>
      <c r="K442" s="41" t="str">
        <f t="shared" si="58"/>
        <v/>
      </c>
      <c r="L442" s="55"/>
      <c r="M442" s="56">
        <f t="shared" si="59"/>
        <v>0</v>
      </c>
      <c r="N442" s="56">
        <f t="shared" si="60"/>
        <v>0</v>
      </c>
      <c r="O442" s="57"/>
      <c r="P442" s="40"/>
      <c r="Q442" s="52" t="str">
        <f>IF($D442="","",IF($K442&lt;&gt;"Balance Sheet / Clearing","-",IF(SUMPRODUCT(--(LEFT('7. Settlements'!$J$8:$J$107,7)=$A442),--('7. Settlements'!$M$8:$M$107="Tied out"))+SUMPRODUCT(--(LEFT('8. Transfers'!$H$9:$H$108,7)=$A442),--('8. Transfers'!$J$9:$J$108="Matched"))+SUMPRODUCT(--(LEFT('8. Transfers'!$I$9:$I$108,7)=$A442),--('8. Transfers'!$J$9:$J$108="Matched"))+IF($O442="",0,COUNTIFS('9. Payroll Allocation'!$B$234:$B$253,$O442,'9. Payroll Allocation'!$H$234:$H$253,"Tied out"))&gt;0,"Linked","MISSING DETAIL")))</f>
        <v/>
      </c>
      <c r="T442" s="58" t="str">
        <f t="shared" si="61"/>
        <v/>
      </c>
      <c r="U442" s="59" t="str">
        <f>IF($T442="","",COUNTIF($T$6:$T442,"?*"))</f>
        <v/>
      </c>
      <c r="V442" s="58" t="str">
        <f t="shared" si="62"/>
        <v/>
      </c>
    </row>
    <row r="443" spans="1:22" ht="12.95" customHeight="1" x14ac:dyDescent="0.25">
      <c r="A443" s="60" t="str">
        <f t="shared" si="54"/>
        <v/>
      </c>
      <c r="B443" s="37"/>
      <c r="C443" s="28"/>
      <c r="D443" s="35"/>
      <c r="E443" s="38"/>
      <c r="F443" s="38"/>
      <c r="G443" s="60" t="str">
        <f t="shared" si="55"/>
        <v/>
      </c>
      <c r="H443" s="61" t="str">
        <f t="shared" si="56"/>
        <v/>
      </c>
      <c r="I443" s="40"/>
      <c r="J443" s="62" t="str">
        <f t="shared" si="57"/>
        <v/>
      </c>
      <c r="K443" s="45" t="str">
        <f t="shared" si="58"/>
        <v/>
      </c>
      <c r="L443" s="55"/>
      <c r="M443" s="63">
        <f t="shared" si="59"/>
        <v>0</v>
      </c>
      <c r="N443" s="63">
        <f t="shared" si="60"/>
        <v>0</v>
      </c>
      <c r="O443" s="57"/>
      <c r="P443" s="40"/>
      <c r="Q443" s="60" t="str">
        <f>IF($D443="","",IF($K443&lt;&gt;"Balance Sheet / Clearing","-",IF(SUMPRODUCT(--(LEFT('7. Settlements'!$J$8:$J$107,7)=$A443),--('7. Settlements'!$M$8:$M$107="Tied out"))+SUMPRODUCT(--(LEFT('8. Transfers'!$H$9:$H$108,7)=$A443),--('8. Transfers'!$J$9:$J$108="Matched"))+SUMPRODUCT(--(LEFT('8. Transfers'!$I$9:$I$108,7)=$A443),--('8. Transfers'!$J$9:$J$108="Matched"))+IF($O443="",0,COUNTIFS('9. Payroll Allocation'!$B$234:$B$253,$O443,'9. Payroll Allocation'!$H$234:$H$253,"Tied out"))&gt;0,"Linked","MISSING DETAIL")))</f>
        <v/>
      </c>
      <c r="T443" s="58" t="str">
        <f t="shared" si="61"/>
        <v/>
      </c>
      <c r="U443" s="59" t="str">
        <f>IF($T443="","",COUNTIF($T$6:$T443,"?*"))</f>
        <v/>
      </c>
      <c r="V443" s="58" t="str">
        <f t="shared" si="62"/>
        <v/>
      </c>
    </row>
    <row r="444" spans="1:22" ht="12.95" customHeight="1" x14ac:dyDescent="0.25">
      <c r="A444" s="52" t="str">
        <f t="shared" si="54"/>
        <v/>
      </c>
      <c r="B444" s="37"/>
      <c r="C444" s="28"/>
      <c r="D444" s="35"/>
      <c r="E444" s="38"/>
      <c r="F444" s="38"/>
      <c r="G444" s="52" t="str">
        <f t="shared" si="55"/>
        <v/>
      </c>
      <c r="H444" s="53" t="str">
        <f t="shared" si="56"/>
        <v/>
      </c>
      <c r="I444" s="40"/>
      <c r="J444" s="54" t="str">
        <f t="shared" si="57"/>
        <v/>
      </c>
      <c r="K444" s="41" t="str">
        <f t="shared" si="58"/>
        <v/>
      </c>
      <c r="L444" s="55"/>
      <c r="M444" s="56">
        <f t="shared" si="59"/>
        <v>0</v>
      </c>
      <c r="N444" s="56">
        <f t="shared" si="60"/>
        <v>0</v>
      </c>
      <c r="O444" s="57"/>
      <c r="P444" s="40"/>
      <c r="Q444" s="52" t="str">
        <f>IF($D444="","",IF($K444&lt;&gt;"Balance Sheet / Clearing","-",IF(SUMPRODUCT(--(LEFT('7. Settlements'!$J$8:$J$107,7)=$A444),--('7. Settlements'!$M$8:$M$107="Tied out"))+SUMPRODUCT(--(LEFT('8. Transfers'!$H$9:$H$108,7)=$A444),--('8. Transfers'!$J$9:$J$108="Matched"))+SUMPRODUCT(--(LEFT('8. Transfers'!$I$9:$I$108,7)=$A444),--('8. Transfers'!$J$9:$J$108="Matched"))+IF($O444="",0,COUNTIFS('9. Payroll Allocation'!$B$234:$B$253,$O444,'9. Payroll Allocation'!$H$234:$H$253,"Tied out"))&gt;0,"Linked","MISSING DETAIL")))</f>
        <v/>
      </c>
      <c r="T444" s="58" t="str">
        <f t="shared" si="61"/>
        <v/>
      </c>
      <c r="U444" s="59" t="str">
        <f>IF($T444="","",COUNTIF($T$6:$T444,"?*"))</f>
        <v/>
      </c>
      <c r="V444" s="58" t="str">
        <f t="shared" si="62"/>
        <v/>
      </c>
    </row>
    <row r="445" spans="1:22" ht="12.95" customHeight="1" x14ac:dyDescent="0.25">
      <c r="A445" s="60" t="str">
        <f t="shared" si="54"/>
        <v/>
      </c>
      <c r="B445" s="37"/>
      <c r="C445" s="28"/>
      <c r="D445" s="35"/>
      <c r="E445" s="38"/>
      <c r="F445" s="38"/>
      <c r="G445" s="60" t="str">
        <f t="shared" si="55"/>
        <v/>
      </c>
      <c r="H445" s="61" t="str">
        <f t="shared" si="56"/>
        <v/>
      </c>
      <c r="I445" s="40"/>
      <c r="J445" s="62" t="str">
        <f t="shared" si="57"/>
        <v/>
      </c>
      <c r="K445" s="45" t="str">
        <f t="shared" si="58"/>
        <v/>
      </c>
      <c r="L445" s="55"/>
      <c r="M445" s="63">
        <f t="shared" si="59"/>
        <v>0</v>
      </c>
      <c r="N445" s="63">
        <f t="shared" si="60"/>
        <v>0</v>
      </c>
      <c r="O445" s="57"/>
      <c r="P445" s="40"/>
      <c r="Q445" s="60" t="str">
        <f>IF($D445="","",IF($K445&lt;&gt;"Balance Sheet / Clearing","-",IF(SUMPRODUCT(--(LEFT('7. Settlements'!$J$8:$J$107,7)=$A445),--('7. Settlements'!$M$8:$M$107="Tied out"))+SUMPRODUCT(--(LEFT('8. Transfers'!$H$9:$H$108,7)=$A445),--('8. Transfers'!$J$9:$J$108="Matched"))+SUMPRODUCT(--(LEFT('8. Transfers'!$I$9:$I$108,7)=$A445),--('8. Transfers'!$J$9:$J$108="Matched"))+IF($O445="",0,COUNTIFS('9. Payroll Allocation'!$B$234:$B$253,$O445,'9. Payroll Allocation'!$H$234:$H$253,"Tied out"))&gt;0,"Linked","MISSING DETAIL")))</f>
        <v/>
      </c>
      <c r="T445" s="58" t="str">
        <f t="shared" si="61"/>
        <v/>
      </c>
      <c r="U445" s="59" t="str">
        <f>IF($T445="","",COUNTIF($T$6:$T445,"?*"))</f>
        <v/>
      </c>
      <c r="V445" s="58" t="str">
        <f t="shared" si="62"/>
        <v/>
      </c>
    </row>
    <row r="446" spans="1:22" ht="12.95" customHeight="1" x14ac:dyDescent="0.25">
      <c r="A446" s="52" t="str">
        <f t="shared" si="54"/>
        <v/>
      </c>
      <c r="B446" s="37"/>
      <c r="C446" s="28"/>
      <c r="D446" s="35"/>
      <c r="E446" s="38"/>
      <c r="F446" s="38"/>
      <c r="G446" s="52" t="str">
        <f t="shared" si="55"/>
        <v/>
      </c>
      <c r="H446" s="53" t="str">
        <f t="shared" si="56"/>
        <v/>
      </c>
      <c r="I446" s="40"/>
      <c r="J446" s="54" t="str">
        <f t="shared" si="57"/>
        <v/>
      </c>
      <c r="K446" s="41" t="str">
        <f t="shared" si="58"/>
        <v/>
      </c>
      <c r="L446" s="55"/>
      <c r="M446" s="56">
        <f t="shared" si="59"/>
        <v>0</v>
      </c>
      <c r="N446" s="56">
        <f t="shared" si="60"/>
        <v>0</v>
      </c>
      <c r="O446" s="57"/>
      <c r="P446" s="40"/>
      <c r="Q446" s="52" t="str">
        <f>IF($D446="","",IF($K446&lt;&gt;"Balance Sheet / Clearing","-",IF(SUMPRODUCT(--(LEFT('7. Settlements'!$J$8:$J$107,7)=$A446),--('7. Settlements'!$M$8:$M$107="Tied out"))+SUMPRODUCT(--(LEFT('8. Transfers'!$H$9:$H$108,7)=$A446),--('8. Transfers'!$J$9:$J$108="Matched"))+SUMPRODUCT(--(LEFT('8. Transfers'!$I$9:$I$108,7)=$A446),--('8. Transfers'!$J$9:$J$108="Matched"))+IF($O446="",0,COUNTIFS('9. Payroll Allocation'!$B$234:$B$253,$O446,'9. Payroll Allocation'!$H$234:$H$253,"Tied out"))&gt;0,"Linked","MISSING DETAIL")))</f>
        <v/>
      </c>
      <c r="T446" s="58" t="str">
        <f t="shared" si="61"/>
        <v/>
      </c>
      <c r="U446" s="59" t="str">
        <f>IF($T446="","",COUNTIF($T$6:$T446,"?*"))</f>
        <v/>
      </c>
      <c r="V446" s="58" t="str">
        <f t="shared" si="62"/>
        <v/>
      </c>
    </row>
    <row r="447" spans="1:22" ht="12.95" customHeight="1" x14ac:dyDescent="0.25">
      <c r="A447" s="60" t="str">
        <f t="shared" si="54"/>
        <v/>
      </c>
      <c r="B447" s="37"/>
      <c r="C447" s="28"/>
      <c r="D447" s="35"/>
      <c r="E447" s="38"/>
      <c r="F447" s="38"/>
      <c r="G447" s="60" t="str">
        <f t="shared" si="55"/>
        <v/>
      </c>
      <c r="H447" s="61" t="str">
        <f t="shared" si="56"/>
        <v/>
      </c>
      <c r="I447" s="40"/>
      <c r="J447" s="62" t="str">
        <f t="shared" si="57"/>
        <v/>
      </c>
      <c r="K447" s="45" t="str">
        <f t="shared" si="58"/>
        <v/>
      </c>
      <c r="L447" s="55"/>
      <c r="M447" s="63">
        <f t="shared" si="59"/>
        <v>0</v>
      </c>
      <c r="N447" s="63">
        <f t="shared" si="60"/>
        <v>0</v>
      </c>
      <c r="O447" s="57"/>
      <c r="P447" s="40"/>
      <c r="Q447" s="60" t="str">
        <f>IF($D447="","",IF($K447&lt;&gt;"Balance Sheet / Clearing","-",IF(SUMPRODUCT(--(LEFT('7. Settlements'!$J$8:$J$107,7)=$A447),--('7. Settlements'!$M$8:$M$107="Tied out"))+SUMPRODUCT(--(LEFT('8. Transfers'!$H$9:$H$108,7)=$A447),--('8. Transfers'!$J$9:$J$108="Matched"))+SUMPRODUCT(--(LEFT('8. Transfers'!$I$9:$I$108,7)=$A447),--('8. Transfers'!$J$9:$J$108="Matched"))+IF($O447="",0,COUNTIFS('9. Payroll Allocation'!$B$234:$B$253,$O447,'9. Payroll Allocation'!$H$234:$H$253,"Tied out"))&gt;0,"Linked","MISSING DETAIL")))</f>
        <v/>
      </c>
      <c r="T447" s="58" t="str">
        <f t="shared" si="61"/>
        <v/>
      </c>
      <c r="U447" s="59" t="str">
        <f>IF($T447="","",COUNTIF($T$6:$T447,"?*"))</f>
        <v/>
      </c>
      <c r="V447" s="58" t="str">
        <f t="shared" si="62"/>
        <v/>
      </c>
    </row>
    <row r="448" spans="1:22" ht="12.95" customHeight="1" x14ac:dyDescent="0.25">
      <c r="A448" s="52" t="str">
        <f t="shared" si="54"/>
        <v/>
      </c>
      <c r="B448" s="37"/>
      <c r="C448" s="28"/>
      <c r="D448" s="35"/>
      <c r="E448" s="38"/>
      <c r="F448" s="38"/>
      <c r="G448" s="52" t="str">
        <f t="shared" si="55"/>
        <v/>
      </c>
      <c r="H448" s="53" t="str">
        <f t="shared" si="56"/>
        <v/>
      </c>
      <c r="I448" s="40"/>
      <c r="J448" s="54" t="str">
        <f t="shared" si="57"/>
        <v/>
      </c>
      <c r="K448" s="41" t="str">
        <f t="shared" si="58"/>
        <v/>
      </c>
      <c r="L448" s="55"/>
      <c r="M448" s="56">
        <f t="shared" si="59"/>
        <v>0</v>
      </c>
      <c r="N448" s="56">
        <f t="shared" si="60"/>
        <v>0</v>
      </c>
      <c r="O448" s="57"/>
      <c r="P448" s="40"/>
      <c r="Q448" s="52" t="str">
        <f>IF($D448="","",IF($K448&lt;&gt;"Balance Sheet / Clearing","-",IF(SUMPRODUCT(--(LEFT('7. Settlements'!$J$8:$J$107,7)=$A448),--('7. Settlements'!$M$8:$M$107="Tied out"))+SUMPRODUCT(--(LEFT('8. Transfers'!$H$9:$H$108,7)=$A448),--('8. Transfers'!$J$9:$J$108="Matched"))+SUMPRODUCT(--(LEFT('8. Transfers'!$I$9:$I$108,7)=$A448),--('8. Transfers'!$J$9:$J$108="Matched"))+IF($O448="",0,COUNTIFS('9. Payroll Allocation'!$B$234:$B$253,$O448,'9. Payroll Allocation'!$H$234:$H$253,"Tied out"))&gt;0,"Linked","MISSING DETAIL")))</f>
        <v/>
      </c>
      <c r="T448" s="58" t="str">
        <f t="shared" si="61"/>
        <v/>
      </c>
      <c r="U448" s="59" t="str">
        <f>IF($T448="","",COUNTIF($T$6:$T448,"?*"))</f>
        <v/>
      </c>
      <c r="V448" s="58" t="str">
        <f t="shared" si="62"/>
        <v/>
      </c>
    </row>
    <row r="449" spans="1:22" ht="12.95" customHeight="1" x14ac:dyDescent="0.25">
      <c r="A449" s="60" t="str">
        <f t="shared" si="54"/>
        <v/>
      </c>
      <c r="B449" s="37"/>
      <c r="C449" s="28"/>
      <c r="D449" s="35"/>
      <c r="E449" s="38"/>
      <c r="F449" s="38"/>
      <c r="G449" s="60" t="str">
        <f t="shared" si="55"/>
        <v/>
      </c>
      <c r="H449" s="61" t="str">
        <f t="shared" si="56"/>
        <v/>
      </c>
      <c r="I449" s="40"/>
      <c r="J449" s="62" t="str">
        <f t="shared" si="57"/>
        <v/>
      </c>
      <c r="K449" s="45" t="str">
        <f t="shared" si="58"/>
        <v/>
      </c>
      <c r="L449" s="55"/>
      <c r="M449" s="63">
        <f t="shared" si="59"/>
        <v>0</v>
      </c>
      <c r="N449" s="63">
        <f t="shared" si="60"/>
        <v>0</v>
      </c>
      <c r="O449" s="57"/>
      <c r="P449" s="40"/>
      <c r="Q449" s="60" t="str">
        <f>IF($D449="","",IF($K449&lt;&gt;"Balance Sheet / Clearing","-",IF(SUMPRODUCT(--(LEFT('7. Settlements'!$J$8:$J$107,7)=$A449),--('7. Settlements'!$M$8:$M$107="Tied out"))+SUMPRODUCT(--(LEFT('8. Transfers'!$H$9:$H$108,7)=$A449),--('8. Transfers'!$J$9:$J$108="Matched"))+SUMPRODUCT(--(LEFT('8. Transfers'!$I$9:$I$108,7)=$A449),--('8. Transfers'!$J$9:$J$108="Matched"))+IF($O449="",0,COUNTIFS('9. Payroll Allocation'!$B$234:$B$253,$O449,'9. Payroll Allocation'!$H$234:$H$253,"Tied out"))&gt;0,"Linked","MISSING DETAIL")))</f>
        <v/>
      </c>
      <c r="T449" s="58" t="str">
        <f t="shared" si="61"/>
        <v/>
      </c>
      <c r="U449" s="59" t="str">
        <f>IF($T449="","",COUNTIF($T$6:$T449,"?*"))</f>
        <v/>
      </c>
      <c r="V449" s="58" t="str">
        <f t="shared" si="62"/>
        <v/>
      </c>
    </row>
    <row r="450" spans="1:22" ht="12.95" customHeight="1" x14ac:dyDescent="0.25">
      <c r="A450" s="52" t="str">
        <f t="shared" si="54"/>
        <v/>
      </c>
      <c r="B450" s="37"/>
      <c r="C450" s="28"/>
      <c r="D450" s="35"/>
      <c r="E450" s="38"/>
      <c r="F450" s="38"/>
      <c r="G450" s="52" t="str">
        <f t="shared" si="55"/>
        <v/>
      </c>
      <c r="H450" s="53" t="str">
        <f t="shared" si="56"/>
        <v/>
      </c>
      <c r="I450" s="40"/>
      <c r="J450" s="54" t="str">
        <f t="shared" si="57"/>
        <v/>
      </c>
      <c r="K450" s="41" t="str">
        <f t="shared" si="58"/>
        <v/>
      </c>
      <c r="L450" s="55"/>
      <c r="M450" s="56">
        <f t="shared" si="59"/>
        <v>0</v>
      </c>
      <c r="N450" s="56">
        <f t="shared" si="60"/>
        <v>0</v>
      </c>
      <c r="O450" s="57"/>
      <c r="P450" s="40"/>
      <c r="Q450" s="52" t="str">
        <f>IF($D450="","",IF($K450&lt;&gt;"Balance Sheet / Clearing","-",IF(SUMPRODUCT(--(LEFT('7. Settlements'!$J$8:$J$107,7)=$A450),--('7. Settlements'!$M$8:$M$107="Tied out"))+SUMPRODUCT(--(LEFT('8. Transfers'!$H$9:$H$108,7)=$A450),--('8. Transfers'!$J$9:$J$108="Matched"))+SUMPRODUCT(--(LEFT('8. Transfers'!$I$9:$I$108,7)=$A450),--('8. Transfers'!$J$9:$J$108="Matched"))+IF($O450="",0,COUNTIFS('9. Payroll Allocation'!$B$234:$B$253,$O450,'9. Payroll Allocation'!$H$234:$H$253,"Tied out"))&gt;0,"Linked","MISSING DETAIL")))</f>
        <v/>
      </c>
      <c r="T450" s="58" t="str">
        <f t="shared" si="61"/>
        <v/>
      </c>
      <c r="U450" s="59" t="str">
        <f>IF($T450="","",COUNTIF($T$6:$T450,"?*"))</f>
        <v/>
      </c>
      <c r="V450" s="58" t="str">
        <f t="shared" si="62"/>
        <v/>
      </c>
    </row>
    <row r="451" spans="1:22" ht="12.95" customHeight="1" x14ac:dyDescent="0.25">
      <c r="A451" s="60" t="str">
        <f t="shared" si="54"/>
        <v/>
      </c>
      <c r="B451" s="37"/>
      <c r="C451" s="28"/>
      <c r="D451" s="35"/>
      <c r="E451" s="38"/>
      <c r="F451" s="38"/>
      <c r="G451" s="60" t="str">
        <f t="shared" si="55"/>
        <v/>
      </c>
      <c r="H451" s="61" t="str">
        <f t="shared" si="56"/>
        <v/>
      </c>
      <c r="I451" s="40"/>
      <c r="J451" s="62" t="str">
        <f t="shared" si="57"/>
        <v/>
      </c>
      <c r="K451" s="45" t="str">
        <f t="shared" si="58"/>
        <v/>
      </c>
      <c r="L451" s="55"/>
      <c r="M451" s="63">
        <f t="shared" si="59"/>
        <v>0</v>
      </c>
      <c r="N451" s="63">
        <f t="shared" si="60"/>
        <v>0</v>
      </c>
      <c r="O451" s="57"/>
      <c r="P451" s="40"/>
      <c r="Q451" s="60" t="str">
        <f>IF($D451="","",IF($K451&lt;&gt;"Balance Sheet / Clearing","-",IF(SUMPRODUCT(--(LEFT('7. Settlements'!$J$8:$J$107,7)=$A451),--('7. Settlements'!$M$8:$M$107="Tied out"))+SUMPRODUCT(--(LEFT('8. Transfers'!$H$9:$H$108,7)=$A451),--('8. Transfers'!$J$9:$J$108="Matched"))+SUMPRODUCT(--(LEFT('8. Transfers'!$I$9:$I$108,7)=$A451),--('8. Transfers'!$J$9:$J$108="Matched"))+IF($O451="",0,COUNTIFS('9. Payroll Allocation'!$B$234:$B$253,$O451,'9. Payroll Allocation'!$H$234:$H$253,"Tied out"))&gt;0,"Linked","MISSING DETAIL")))</f>
        <v/>
      </c>
      <c r="T451" s="58" t="str">
        <f t="shared" si="61"/>
        <v/>
      </c>
      <c r="U451" s="59" t="str">
        <f>IF($T451="","",COUNTIF($T$6:$T451,"?*"))</f>
        <v/>
      </c>
      <c r="V451" s="58" t="str">
        <f t="shared" si="62"/>
        <v/>
      </c>
    </row>
    <row r="452" spans="1:22" ht="12.95" customHeight="1" x14ac:dyDescent="0.25">
      <c r="A452" s="52" t="str">
        <f t="shared" si="54"/>
        <v/>
      </c>
      <c r="B452" s="37"/>
      <c r="C452" s="28"/>
      <c r="D452" s="35"/>
      <c r="E452" s="38"/>
      <c r="F452" s="38"/>
      <c r="G452" s="52" t="str">
        <f t="shared" si="55"/>
        <v/>
      </c>
      <c r="H452" s="53" t="str">
        <f t="shared" si="56"/>
        <v/>
      </c>
      <c r="I452" s="40"/>
      <c r="J452" s="54" t="str">
        <f t="shared" si="57"/>
        <v/>
      </c>
      <c r="K452" s="41" t="str">
        <f t="shared" si="58"/>
        <v/>
      </c>
      <c r="L452" s="55"/>
      <c r="M452" s="56">
        <f t="shared" si="59"/>
        <v>0</v>
      </c>
      <c r="N452" s="56">
        <f t="shared" si="60"/>
        <v>0</v>
      </c>
      <c r="O452" s="57"/>
      <c r="P452" s="40"/>
      <c r="Q452" s="52" t="str">
        <f>IF($D452="","",IF($K452&lt;&gt;"Balance Sheet / Clearing","-",IF(SUMPRODUCT(--(LEFT('7. Settlements'!$J$8:$J$107,7)=$A452),--('7. Settlements'!$M$8:$M$107="Tied out"))+SUMPRODUCT(--(LEFT('8. Transfers'!$H$9:$H$108,7)=$A452),--('8. Transfers'!$J$9:$J$108="Matched"))+SUMPRODUCT(--(LEFT('8. Transfers'!$I$9:$I$108,7)=$A452),--('8. Transfers'!$J$9:$J$108="Matched"))+IF($O452="",0,COUNTIFS('9. Payroll Allocation'!$B$234:$B$253,$O452,'9. Payroll Allocation'!$H$234:$H$253,"Tied out"))&gt;0,"Linked","MISSING DETAIL")))</f>
        <v/>
      </c>
      <c r="T452" s="58" t="str">
        <f t="shared" si="61"/>
        <v/>
      </c>
      <c r="U452" s="59" t="str">
        <f>IF($T452="","",COUNTIF($T$6:$T452,"?*"))</f>
        <v/>
      </c>
      <c r="V452" s="58" t="str">
        <f t="shared" si="62"/>
        <v/>
      </c>
    </row>
    <row r="453" spans="1:22" ht="12.95" customHeight="1" x14ac:dyDescent="0.25">
      <c r="A453" s="60" t="str">
        <f t="shared" si="54"/>
        <v/>
      </c>
      <c r="B453" s="37"/>
      <c r="C453" s="28"/>
      <c r="D453" s="35"/>
      <c r="E453" s="38"/>
      <c r="F453" s="38"/>
      <c r="G453" s="60" t="str">
        <f t="shared" si="55"/>
        <v/>
      </c>
      <c r="H453" s="61" t="str">
        <f t="shared" si="56"/>
        <v/>
      </c>
      <c r="I453" s="40"/>
      <c r="J453" s="62" t="str">
        <f t="shared" si="57"/>
        <v/>
      </c>
      <c r="K453" s="45" t="str">
        <f t="shared" si="58"/>
        <v/>
      </c>
      <c r="L453" s="55"/>
      <c r="M453" s="63">
        <f t="shared" si="59"/>
        <v>0</v>
      </c>
      <c r="N453" s="63">
        <f t="shared" si="60"/>
        <v>0</v>
      </c>
      <c r="O453" s="57"/>
      <c r="P453" s="40"/>
      <c r="Q453" s="60" t="str">
        <f>IF($D453="","",IF($K453&lt;&gt;"Balance Sheet / Clearing","-",IF(SUMPRODUCT(--(LEFT('7. Settlements'!$J$8:$J$107,7)=$A453),--('7. Settlements'!$M$8:$M$107="Tied out"))+SUMPRODUCT(--(LEFT('8. Transfers'!$H$9:$H$108,7)=$A453),--('8. Transfers'!$J$9:$J$108="Matched"))+SUMPRODUCT(--(LEFT('8. Transfers'!$I$9:$I$108,7)=$A453),--('8. Transfers'!$J$9:$J$108="Matched"))+IF($O453="",0,COUNTIFS('9. Payroll Allocation'!$B$234:$B$253,$O453,'9. Payroll Allocation'!$H$234:$H$253,"Tied out"))&gt;0,"Linked","MISSING DETAIL")))</f>
        <v/>
      </c>
      <c r="T453" s="58" t="str">
        <f t="shared" si="61"/>
        <v/>
      </c>
      <c r="U453" s="59" t="str">
        <f>IF($T453="","",COUNTIF($T$6:$T453,"?*"))</f>
        <v/>
      </c>
      <c r="V453" s="58" t="str">
        <f t="shared" si="62"/>
        <v/>
      </c>
    </row>
    <row r="454" spans="1:22" ht="12.95" customHeight="1" x14ac:dyDescent="0.25">
      <c r="A454" s="52" t="str">
        <f t="shared" ref="A454:A517" si="63">IF($D454="","","TX-"&amp;TEXT(ROW()-5,"0000"))</f>
        <v/>
      </c>
      <c r="B454" s="37"/>
      <c r="C454" s="28"/>
      <c r="D454" s="35"/>
      <c r="E454" s="38"/>
      <c r="F454" s="38"/>
      <c r="G454" s="52" t="str">
        <f t="shared" ref="G454:G517" si="64">IF($D454="","",IFERROR(_xlfn.AGGREGATE(15,6,Rules_Pri/((ISNUMBER(SEARCH(Rules_Key,$D454)))*(Rules_Key&lt;&gt;"")*(Rules_Active="Yes")*((Rules_Dir="Any")+(Rules_Dir=IF(N($E454)&gt;0,"In","Out")))),1),""))</f>
        <v/>
      </c>
      <c r="H454" s="53" t="str">
        <f t="shared" ref="H454:H517" si="65">IF($D454="","",IF($G454="",IF(N($E454)&gt;0,"Uncategorized Deposit - NEEDS REVIEW","Uncategorized - NEEDS REVIEW"),INDEX(Rules_Cat,MATCH(1,INDEX(((ISNUMBER(SEARCH(Rules_Key,$D454)))*(Rules_Key&lt;&gt;"")*(Rules_Active="Yes")*((Rules_Dir="Any")+(Rules_Dir=IF(N($E454)&gt;0,"In","Out"))))*(Rules_Pri=$G454),0),0))))</f>
        <v/>
      </c>
      <c r="I454" s="40"/>
      <c r="J454" s="54" t="str">
        <f t="shared" ref="J454:J517" si="66">IF($D454="","",IF($I454&lt;&gt;"",$I454,$H454))</f>
        <v/>
      </c>
      <c r="K454" s="41" t="str">
        <f t="shared" ref="K454:K517" si="67">IF($J454="","",IFERROR(INDEX(Cat_Treatment,MATCH($J454,Cat_Name,0)),"Review Required"))</f>
        <v/>
      </c>
      <c r="L454" s="55"/>
      <c r="M454" s="56">
        <f t="shared" ref="M454:M517" si="68">IF($K454&lt;&gt;"Operating Expense",0,IF(AND($L454&lt;&gt;"",OR(N($L454)&lt;0,N($L454)&gt;1)),0,ROUND(N($F454)*IF($L454="",1,$L454),2)))</f>
        <v>0</v>
      </c>
      <c r="N454" s="56">
        <f t="shared" ref="N454:N517" si="69">IF($K454="Operating Revenue",ROUND(N($E454)-N($F454),2),0)</f>
        <v>0</v>
      </c>
      <c r="O454" s="57"/>
      <c r="P454" s="40"/>
      <c r="Q454" s="52" t="str">
        <f>IF($D454="","",IF($K454&lt;&gt;"Balance Sheet / Clearing","-",IF(SUMPRODUCT(--(LEFT('7. Settlements'!$J$8:$J$107,7)=$A454),--('7. Settlements'!$M$8:$M$107="Tied out"))+SUMPRODUCT(--(LEFT('8. Transfers'!$H$9:$H$108,7)=$A454),--('8. Transfers'!$J$9:$J$108="Matched"))+SUMPRODUCT(--(LEFT('8. Transfers'!$I$9:$I$108,7)=$A454),--('8. Transfers'!$J$9:$J$108="Matched"))+IF($O454="",0,COUNTIFS('9. Payroll Allocation'!$B$234:$B$253,$O454,'9. Payroll Allocation'!$H$234:$H$253,"Tied out"))&gt;0,"Linked","MISSING DETAIL")))</f>
        <v/>
      </c>
      <c r="T454" s="58" t="str">
        <f t="shared" ref="T454:T517" si="70">IF(OR($D454="",$K454&lt;&gt;"Balance Sheet / Clearing"),"",$A454&amp;" · "&amp;TEXT($B454,"mm/dd")&amp;" · "&amp;LEFT($D454,24)&amp;" · "&amp;TEXT(N($E454)+N($F454),"#,##0.00"))</f>
        <v/>
      </c>
      <c r="U454" s="59" t="str">
        <f>IF($T454="","",COUNTIF($T$6:$T454,"?*"))</f>
        <v/>
      </c>
      <c r="V454" s="58" t="str">
        <f t="shared" ref="V454:V517" si="71">IFERROR(INDEX($T$6:$T$1005,MATCH(ROW()-5,$U$6:$U$1005,0)),"")</f>
        <v/>
      </c>
    </row>
    <row r="455" spans="1:22" ht="12.95" customHeight="1" x14ac:dyDescent="0.25">
      <c r="A455" s="60" t="str">
        <f t="shared" si="63"/>
        <v/>
      </c>
      <c r="B455" s="37"/>
      <c r="C455" s="28"/>
      <c r="D455" s="35"/>
      <c r="E455" s="38"/>
      <c r="F455" s="38"/>
      <c r="G455" s="60" t="str">
        <f t="shared" si="64"/>
        <v/>
      </c>
      <c r="H455" s="61" t="str">
        <f t="shared" si="65"/>
        <v/>
      </c>
      <c r="I455" s="40"/>
      <c r="J455" s="62" t="str">
        <f t="shared" si="66"/>
        <v/>
      </c>
      <c r="K455" s="45" t="str">
        <f t="shared" si="67"/>
        <v/>
      </c>
      <c r="L455" s="55"/>
      <c r="M455" s="63">
        <f t="shared" si="68"/>
        <v>0</v>
      </c>
      <c r="N455" s="63">
        <f t="shared" si="69"/>
        <v>0</v>
      </c>
      <c r="O455" s="57"/>
      <c r="P455" s="40"/>
      <c r="Q455" s="60" t="str">
        <f>IF($D455="","",IF($K455&lt;&gt;"Balance Sheet / Clearing","-",IF(SUMPRODUCT(--(LEFT('7. Settlements'!$J$8:$J$107,7)=$A455),--('7. Settlements'!$M$8:$M$107="Tied out"))+SUMPRODUCT(--(LEFT('8. Transfers'!$H$9:$H$108,7)=$A455),--('8. Transfers'!$J$9:$J$108="Matched"))+SUMPRODUCT(--(LEFT('8. Transfers'!$I$9:$I$108,7)=$A455),--('8. Transfers'!$J$9:$J$108="Matched"))+IF($O455="",0,COUNTIFS('9. Payroll Allocation'!$B$234:$B$253,$O455,'9. Payroll Allocation'!$H$234:$H$253,"Tied out"))&gt;0,"Linked","MISSING DETAIL")))</f>
        <v/>
      </c>
      <c r="T455" s="58" t="str">
        <f t="shared" si="70"/>
        <v/>
      </c>
      <c r="U455" s="59" t="str">
        <f>IF($T455="","",COUNTIF($T$6:$T455,"?*"))</f>
        <v/>
      </c>
      <c r="V455" s="58" t="str">
        <f t="shared" si="71"/>
        <v/>
      </c>
    </row>
    <row r="456" spans="1:22" ht="12.95" customHeight="1" x14ac:dyDescent="0.25">
      <c r="A456" s="52" t="str">
        <f t="shared" si="63"/>
        <v/>
      </c>
      <c r="B456" s="37"/>
      <c r="C456" s="28"/>
      <c r="D456" s="35"/>
      <c r="E456" s="38"/>
      <c r="F456" s="38"/>
      <c r="G456" s="52" t="str">
        <f t="shared" si="64"/>
        <v/>
      </c>
      <c r="H456" s="53" t="str">
        <f t="shared" si="65"/>
        <v/>
      </c>
      <c r="I456" s="40"/>
      <c r="J456" s="54" t="str">
        <f t="shared" si="66"/>
        <v/>
      </c>
      <c r="K456" s="41" t="str">
        <f t="shared" si="67"/>
        <v/>
      </c>
      <c r="L456" s="55"/>
      <c r="M456" s="56">
        <f t="shared" si="68"/>
        <v>0</v>
      </c>
      <c r="N456" s="56">
        <f t="shared" si="69"/>
        <v>0</v>
      </c>
      <c r="O456" s="57"/>
      <c r="P456" s="40"/>
      <c r="Q456" s="52" t="str">
        <f>IF($D456="","",IF($K456&lt;&gt;"Balance Sheet / Clearing","-",IF(SUMPRODUCT(--(LEFT('7. Settlements'!$J$8:$J$107,7)=$A456),--('7. Settlements'!$M$8:$M$107="Tied out"))+SUMPRODUCT(--(LEFT('8. Transfers'!$H$9:$H$108,7)=$A456),--('8. Transfers'!$J$9:$J$108="Matched"))+SUMPRODUCT(--(LEFT('8. Transfers'!$I$9:$I$108,7)=$A456),--('8. Transfers'!$J$9:$J$108="Matched"))+IF($O456="",0,COUNTIFS('9. Payroll Allocation'!$B$234:$B$253,$O456,'9. Payroll Allocation'!$H$234:$H$253,"Tied out"))&gt;0,"Linked","MISSING DETAIL")))</f>
        <v/>
      </c>
      <c r="T456" s="58" t="str">
        <f t="shared" si="70"/>
        <v/>
      </c>
      <c r="U456" s="59" t="str">
        <f>IF($T456="","",COUNTIF($T$6:$T456,"?*"))</f>
        <v/>
      </c>
      <c r="V456" s="58" t="str">
        <f t="shared" si="71"/>
        <v/>
      </c>
    </row>
    <row r="457" spans="1:22" ht="12.95" customHeight="1" x14ac:dyDescent="0.25">
      <c r="A457" s="60" t="str">
        <f t="shared" si="63"/>
        <v/>
      </c>
      <c r="B457" s="37"/>
      <c r="C457" s="28"/>
      <c r="D457" s="35"/>
      <c r="E457" s="38"/>
      <c r="F457" s="38"/>
      <c r="G457" s="60" t="str">
        <f t="shared" si="64"/>
        <v/>
      </c>
      <c r="H457" s="61" t="str">
        <f t="shared" si="65"/>
        <v/>
      </c>
      <c r="I457" s="40"/>
      <c r="J457" s="62" t="str">
        <f t="shared" si="66"/>
        <v/>
      </c>
      <c r="K457" s="45" t="str">
        <f t="shared" si="67"/>
        <v/>
      </c>
      <c r="L457" s="55"/>
      <c r="M457" s="63">
        <f t="shared" si="68"/>
        <v>0</v>
      </c>
      <c r="N457" s="63">
        <f t="shared" si="69"/>
        <v>0</v>
      </c>
      <c r="O457" s="57"/>
      <c r="P457" s="40"/>
      <c r="Q457" s="60" t="str">
        <f>IF($D457="","",IF($K457&lt;&gt;"Balance Sheet / Clearing","-",IF(SUMPRODUCT(--(LEFT('7. Settlements'!$J$8:$J$107,7)=$A457),--('7. Settlements'!$M$8:$M$107="Tied out"))+SUMPRODUCT(--(LEFT('8. Transfers'!$H$9:$H$108,7)=$A457),--('8. Transfers'!$J$9:$J$108="Matched"))+SUMPRODUCT(--(LEFT('8. Transfers'!$I$9:$I$108,7)=$A457),--('8. Transfers'!$J$9:$J$108="Matched"))+IF($O457="",0,COUNTIFS('9. Payroll Allocation'!$B$234:$B$253,$O457,'9. Payroll Allocation'!$H$234:$H$253,"Tied out"))&gt;0,"Linked","MISSING DETAIL")))</f>
        <v/>
      </c>
      <c r="T457" s="58" t="str">
        <f t="shared" si="70"/>
        <v/>
      </c>
      <c r="U457" s="59" t="str">
        <f>IF($T457="","",COUNTIF($T$6:$T457,"?*"))</f>
        <v/>
      </c>
      <c r="V457" s="58" t="str">
        <f t="shared" si="71"/>
        <v/>
      </c>
    </row>
    <row r="458" spans="1:22" ht="12.95" customHeight="1" x14ac:dyDescent="0.25">
      <c r="A458" s="52" t="str">
        <f t="shared" si="63"/>
        <v/>
      </c>
      <c r="B458" s="37"/>
      <c r="C458" s="28"/>
      <c r="D458" s="35"/>
      <c r="E458" s="38"/>
      <c r="F458" s="38"/>
      <c r="G458" s="52" t="str">
        <f t="shared" si="64"/>
        <v/>
      </c>
      <c r="H458" s="53" t="str">
        <f t="shared" si="65"/>
        <v/>
      </c>
      <c r="I458" s="40"/>
      <c r="J458" s="54" t="str">
        <f t="shared" si="66"/>
        <v/>
      </c>
      <c r="K458" s="41" t="str">
        <f t="shared" si="67"/>
        <v/>
      </c>
      <c r="L458" s="55"/>
      <c r="M458" s="56">
        <f t="shared" si="68"/>
        <v>0</v>
      </c>
      <c r="N458" s="56">
        <f t="shared" si="69"/>
        <v>0</v>
      </c>
      <c r="O458" s="57"/>
      <c r="P458" s="40"/>
      <c r="Q458" s="52" t="str">
        <f>IF($D458="","",IF($K458&lt;&gt;"Balance Sheet / Clearing","-",IF(SUMPRODUCT(--(LEFT('7. Settlements'!$J$8:$J$107,7)=$A458),--('7. Settlements'!$M$8:$M$107="Tied out"))+SUMPRODUCT(--(LEFT('8. Transfers'!$H$9:$H$108,7)=$A458),--('8. Transfers'!$J$9:$J$108="Matched"))+SUMPRODUCT(--(LEFT('8. Transfers'!$I$9:$I$108,7)=$A458),--('8. Transfers'!$J$9:$J$108="Matched"))+IF($O458="",0,COUNTIFS('9. Payroll Allocation'!$B$234:$B$253,$O458,'9. Payroll Allocation'!$H$234:$H$253,"Tied out"))&gt;0,"Linked","MISSING DETAIL")))</f>
        <v/>
      </c>
      <c r="T458" s="58" t="str">
        <f t="shared" si="70"/>
        <v/>
      </c>
      <c r="U458" s="59" t="str">
        <f>IF($T458="","",COUNTIF($T$6:$T458,"?*"))</f>
        <v/>
      </c>
      <c r="V458" s="58" t="str">
        <f t="shared" si="71"/>
        <v/>
      </c>
    </row>
    <row r="459" spans="1:22" ht="12.95" customHeight="1" x14ac:dyDescent="0.25">
      <c r="A459" s="60" t="str">
        <f t="shared" si="63"/>
        <v/>
      </c>
      <c r="B459" s="37"/>
      <c r="C459" s="28"/>
      <c r="D459" s="35"/>
      <c r="E459" s="38"/>
      <c r="F459" s="38"/>
      <c r="G459" s="60" t="str">
        <f t="shared" si="64"/>
        <v/>
      </c>
      <c r="H459" s="61" t="str">
        <f t="shared" si="65"/>
        <v/>
      </c>
      <c r="I459" s="40"/>
      <c r="J459" s="62" t="str">
        <f t="shared" si="66"/>
        <v/>
      </c>
      <c r="K459" s="45" t="str">
        <f t="shared" si="67"/>
        <v/>
      </c>
      <c r="L459" s="55"/>
      <c r="M459" s="63">
        <f t="shared" si="68"/>
        <v>0</v>
      </c>
      <c r="N459" s="63">
        <f t="shared" si="69"/>
        <v>0</v>
      </c>
      <c r="O459" s="57"/>
      <c r="P459" s="40"/>
      <c r="Q459" s="60" t="str">
        <f>IF($D459="","",IF($K459&lt;&gt;"Balance Sheet / Clearing","-",IF(SUMPRODUCT(--(LEFT('7. Settlements'!$J$8:$J$107,7)=$A459),--('7. Settlements'!$M$8:$M$107="Tied out"))+SUMPRODUCT(--(LEFT('8. Transfers'!$H$9:$H$108,7)=$A459),--('8. Transfers'!$J$9:$J$108="Matched"))+SUMPRODUCT(--(LEFT('8. Transfers'!$I$9:$I$108,7)=$A459),--('8. Transfers'!$J$9:$J$108="Matched"))+IF($O459="",0,COUNTIFS('9. Payroll Allocation'!$B$234:$B$253,$O459,'9. Payroll Allocation'!$H$234:$H$253,"Tied out"))&gt;0,"Linked","MISSING DETAIL")))</f>
        <v/>
      </c>
      <c r="T459" s="58" t="str">
        <f t="shared" si="70"/>
        <v/>
      </c>
      <c r="U459" s="59" t="str">
        <f>IF($T459="","",COUNTIF($T$6:$T459,"?*"))</f>
        <v/>
      </c>
      <c r="V459" s="58" t="str">
        <f t="shared" si="71"/>
        <v/>
      </c>
    </row>
    <row r="460" spans="1:22" ht="12.95" customHeight="1" x14ac:dyDescent="0.25">
      <c r="A460" s="52" t="str">
        <f t="shared" si="63"/>
        <v/>
      </c>
      <c r="B460" s="37"/>
      <c r="C460" s="28"/>
      <c r="D460" s="35"/>
      <c r="E460" s="38"/>
      <c r="F460" s="38"/>
      <c r="G460" s="52" t="str">
        <f t="shared" si="64"/>
        <v/>
      </c>
      <c r="H460" s="53" t="str">
        <f t="shared" si="65"/>
        <v/>
      </c>
      <c r="I460" s="40"/>
      <c r="J460" s="54" t="str">
        <f t="shared" si="66"/>
        <v/>
      </c>
      <c r="K460" s="41" t="str">
        <f t="shared" si="67"/>
        <v/>
      </c>
      <c r="L460" s="55"/>
      <c r="M460" s="56">
        <f t="shared" si="68"/>
        <v>0</v>
      </c>
      <c r="N460" s="56">
        <f t="shared" si="69"/>
        <v>0</v>
      </c>
      <c r="O460" s="57"/>
      <c r="P460" s="40"/>
      <c r="Q460" s="52" t="str">
        <f>IF($D460="","",IF($K460&lt;&gt;"Balance Sheet / Clearing","-",IF(SUMPRODUCT(--(LEFT('7. Settlements'!$J$8:$J$107,7)=$A460),--('7. Settlements'!$M$8:$M$107="Tied out"))+SUMPRODUCT(--(LEFT('8. Transfers'!$H$9:$H$108,7)=$A460),--('8. Transfers'!$J$9:$J$108="Matched"))+SUMPRODUCT(--(LEFT('8. Transfers'!$I$9:$I$108,7)=$A460),--('8. Transfers'!$J$9:$J$108="Matched"))+IF($O460="",0,COUNTIFS('9. Payroll Allocation'!$B$234:$B$253,$O460,'9. Payroll Allocation'!$H$234:$H$253,"Tied out"))&gt;0,"Linked","MISSING DETAIL")))</f>
        <v/>
      </c>
      <c r="T460" s="58" t="str">
        <f t="shared" si="70"/>
        <v/>
      </c>
      <c r="U460" s="59" t="str">
        <f>IF($T460="","",COUNTIF($T$6:$T460,"?*"))</f>
        <v/>
      </c>
      <c r="V460" s="58" t="str">
        <f t="shared" si="71"/>
        <v/>
      </c>
    </row>
    <row r="461" spans="1:22" ht="12.95" customHeight="1" x14ac:dyDescent="0.25">
      <c r="A461" s="60" t="str">
        <f t="shared" si="63"/>
        <v/>
      </c>
      <c r="B461" s="37"/>
      <c r="C461" s="28"/>
      <c r="D461" s="35"/>
      <c r="E461" s="38"/>
      <c r="F461" s="38"/>
      <c r="G461" s="60" t="str">
        <f t="shared" si="64"/>
        <v/>
      </c>
      <c r="H461" s="61" t="str">
        <f t="shared" si="65"/>
        <v/>
      </c>
      <c r="I461" s="40"/>
      <c r="J461" s="62" t="str">
        <f t="shared" si="66"/>
        <v/>
      </c>
      <c r="K461" s="45" t="str">
        <f t="shared" si="67"/>
        <v/>
      </c>
      <c r="L461" s="55"/>
      <c r="M461" s="63">
        <f t="shared" si="68"/>
        <v>0</v>
      </c>
      <c r="N461" s="63">
        <f t="shared" si="69"/>
        <v>0</v>
      </c>
      <c r="O461" s="57"/>
      <c r="P461" s="40"/>
      <c r="Q461" s="60" t="str">
        <f>IF($D461="","",IF($K461&lt;&gt;"Balance Sheet / Clearing","-",IF(SUMPRODUCT(--(LEFT('7. Settlements'!$J$8:$J$107,7)=$A461),--('7. Settlements'!$M$8:$M$107="Tied out"))+SUMPRODUCT(--(LEFT('8. Transfers'!$H$9:$H$108,7)=$A461),--('8. Transfers'!$J$9:$J$108="Matched"))+SUMPRODUCT(--(LEFT('8. Transfers'!$I$9:$I$108,7)=$A461),--('8. Transfers'!$J$9:$J$108="Matched"))+IF($O461="",0,COUNTIFS('9. Payroll Allocation'!$B$234:$B$253,$O461,'9. Payroll Allocation'!$H$234:$H$253,"Tied out"))&gt;0,"Linked","MISSING DETAIL")))</f>
        <v/>
      </c>
      <c r="T461" s="58" t="str">
        <f t="shared" si="70"/>
        <v/>
      </c>
      <c r="U461" s="59" t="str">
        <f>IF($T461="","",COUNTIF($T$6:$T461,"?*"))</f>
        <v/>
      </c>
      <c r="V461" s="58" t="str">
        <f t="shared" si="71"/>
        <v/>
      </c>
    </row>
    <row r="462" spans="1:22" ht="12.95" customHeight="1" x14ac:dyDescent="0.25">
      <c r="A462" s="52" t="str">
        <f t="shared" si="63"/>
        <v/>
      </c>
      <c r="B462" s="37"/>
      <c r="C462" s="28"/>
      <c r="D462" s="35"/>
      <c r="E462" s="38"/>
      <c r="F462" s="38"/>
      <c r="G462" s="52" t="str">
        <f t="shared" si="64"/>
        <v/>
      </c>
      <c r="H462" s="53" t="str">
        <f t="shared" si="65"/>
        <v/>
      </c>
      <c r="I462" s="40"/>
      <c r="J462" s="54" t="str">
        <f t="shared" si="66"/>
        <v/>
      </c>
      <c r="K462" s="41" t="str">
        <f t="shared" si="67"/>
        <v/>
      </c>
      <c r="L462" s="55"/>
      <c r="M462" s="56">
        <f t="shared" si="68"/>
        <v>0</v>
      </c>
      <c r="N462" s="56">
        <f t="shared" si="69"/>
        <v>0</v>
      </c>
      <c r="O462" s="57"/>
      <c r="P462" s="40"/>
      <c r="Q462" s="52" t="str">
        <f>IF($D462="","",IF($K462&lt;&gt;"Balance Sheet / Clearing","-",IF(SUMPRODUCT(--(LEFT('7. Settlements'!$J$8:$J$107,7)=$A462),--('7. Settlements'!$M$8:$M$107="Tied out"))+SUMPRODUCT(--(LEFT('8. Transfers'!$H$9:$H$108,7)=$A462),--('8. Transfers'!$J$9:$J$108="Matched"))+SUMPRODUCT(--(LEFT('8. Transfers'!$I$9:$I$108,7)=$A462),--('8. Transfers'!$J$9:$J$108="Matched"))+IF($O462="",0,COUNTIFS('9. Payroll Allocation'!$B$234:$B$253,$O462,'9. Payroll Allocation'!$H$234:$H$253,"Tied out"))&gt;0,"Linked","MISSING DETAIL")))</f>
        <v/>
      </c>
      <c r="T462" s="58" t="str">
        <f t="shared" si="70"/>
        <v/>
      </c>
      <c r="U462" s="59" t="str">
        <f>IF($T462="","",COUNTIF($T$6:$T462,"?*"))</f>
        <v/>
      </c>
      <c r="V462" s="58" t="str">
        <f t="shared" si="71"/>
        <v/>
      </c>
    </row>
    <row r="463" spans="1:22" ht="12.95" customHeight="1" x14ac:dyDescent="0.25">
      <c r="A463" s="60" t="str">
        <f t="shared" si="63"/>
        <v/>
      </c>
      <c r="B463" s="37"/>
      <c r="C463" s="28"/>
      <c r="D463" s="35"/>
      <c r="E463" s="38"/>
      <c r="F463" s="38"/>
      <c r="G463" s="60" t="str">
        <f t="shared" si="64"/>
        <v/>
      </c>
      <c r="H463" s="61" t="str">
        <f t="shared" si="65"/>
        <v/>
      </c>
      <c r="I463" s="40"/>
      <c r="J463" s="62" t="str">
        <f t="shared" si="66"/>
        <v/>
      </c>
      <c r="K463" s="45" t="str">
        <f t="shared" si="67"/>
        <v/>
      </c>
      <c r="L463" s="55"/>
      <c r="M463" s="63">
        <f t="shared" si="68"/>
        <v>0</v>
      </c>
      <c r="N463" s="63">
        <f t="shared" si="69"/>
        <v>0</v>
      </c>
      <c r="O463" s="57"/>
      <c r="P463" s="40"/>
      <c r="Q463" s="60" t="str">
        <f>IF($D463="","",IF($K463&lt;&gt;"Balance Sheet / Clearing","-",IF(SUMPRODUCT(--(LEFT('7. Settlements'!$J$8:$J$107,7)=$A463),--('7. Settlements'!$M$8:$M$107="Tied out"))+SUMPRODUCT(--(LEFT('8. Transfers'!$H$9:$H$108,7)=$A463),--('8. Transfers'!$J$9:$J$108="Matched"))+SUMPRODUCT(--(LEFT('8. Transfers'!$I$9:$I$108,7)=$A463),--('8. Transfers'!$J$9:$J$108="Matched"))+IF($O463="",0,COUNTIFS('9. Payroll Allocation'!$B$234:$B$253,$O463,'9. Payroll Allocation'!$H$234:$H$253,"Tied out"))&gt;0,"Linked","MISSING DETAIL")))</f>
        <v/>
      </c>
      <c r="T463" s="58" t="str">
        <f t="shared" si="70"/>
        <v/>
      </c>
      <c r="U463" s="59" t="str">
        <f>IF($T463="","",COUNTIF($T$6:$T463,"?*"))</f>
        <v/>
      </c>
      <c r="V463" s="58" t="str">
        <f t="shared" si="71"/>
        <v/>
      </c>
    </row>
    <row r="464" spans="1:22" ht="12.95" customHeight="1" x14ac:dyDescent="0.25">
      <c r="A464" s="52" t="str">
        <f t="shared" si="63"/>
        <v/>
      </c>
      <c r="B464" s="37"/>
      <c r="C464" s="28"/>
      <c r="D464" s="35"/>
      <c r="E464" s="38"/>
      <c r="F464" s="38"/>
      <c r="G464" s="52" t="str">
        <f t="shared" si="64"/>
        <v/>
      </c>
      <c r="H464" s="53" t="str">
        <f t="shared" si="65"/>
        <v/>
      </c>
      <c r="I464" s="40"/>
      <c r="J464" s="54" t="str">
        <f t="shared" si="66"/>
        <v/>
      </c>
      <c r="K464" s="41" t="str">
        <f t="shared" si="67"/>
        <v/>
      </c>
      <c r="L464" s="55"/>
      <c r="M464" s="56">
        <f t="shared" si="68"/>
        <v>0</v>
      </c>
      <c r="N464" s="56">
        <f t="shared" si="69"/>
        <v>0</v>
      </c>
      <c r="O464" s="57"/>
      <c r="P464" s="40"/>
      <c r="Q464" s="52" t="str">
        <f>IF($D464="","",IF($K464&lt;&gt;"Balance Sheet / Clearing","-",IF(SUMPRODUCT(--(LEFT('7. Settlements'!$J$8:$J$107,7)=$A464),--('7. Settlements'!$M$8:$M$107="Tied out"))+SUMPRODUCT(--(LEFT('8. Transfers'!$H$9:$H$108,7)=$A464),--('8. Transfers'!$J$9:$J$108="Matched"))+SUMPRODUCT(--(LEFT('8. Transfers'!$I$9:$I$108,7)=$A464),--('8. Transfers'!$J$9:$J$108="Matched"))+IF($O464="",0,COUNTIFS('9. Payroll Allocation'!$B$234:$B$253,$O464,'9. Payroll Allocation'!$H$234:$H$253,"Tied out"))&gt;0,"Linked","MISSING DETAIL")))</f>
        <v/>
      </c>
      <c r="T464" s="58" t="str">
        <f t="shared" si="70"/>
        <v/>
      </c>
      <c r="U464" s="59" t="str">
        <f>IF($T464="","",COUNTIF($T$6:$T464,"?*"))</f>
        <v/>
      </c>
      <c r="V464" s="58" t="str">
        <f t="shared" si="71"/>
        <v/>
      </c>
    </row>
    <row r="465" spans="1:22" ht="12.95" customHeight="1" x14ac:dyDescent="0.25">
      <c r="A465" s="60" t="str">
        <f t="shared" si="63"/>
        <v/>
      </c>
      <c r="B465" s="37"/>
      <c r="C465" s="28"/>
      <c r="D465" s="35"/>
      <c r="E465" s="38"/>
      <c r="F465" s="38"/>
      <c r="G465" s="60" t="str">
        <f t="shared" si="64"/>
        <v/>
      </c>
      <c r="H465" s="61" t="str">
        <f t="shared" si="65"/>
        <v/>
      </c>
      <c r="I465" s="40"/>
      <c r="J465" s="62" t="str">
        <f t="shared" si="66"/>
        <v/>
      </c>
      <c r="K465" s="45" t="str">
        <f t="shared" si="67"/>
        <v/>
      </c>
      <c r="L465" s="55"/>
      <c r="M465" s="63">
        <f t="shared" si="68"/>
        <v>0</v>
      </c>
      <c r="N465" s="63">
        <f t="shared" si="69"/>
        <v>0</v>
      </c>
      <c r="O465" s="57"/>
      <c r="P465" s="40"/>
      <c r="Q465" s="60" t="str">
        <f>IF($D465="","",IF($K465&lt;&gt;"Balance Sheet / Clearing","-",IF(SUMPRODUCT(--(LEFT('7. Settlements'!$J$8:$J$107,7)=$A465),--('7. Settlements'!$M$8:$M$107="Tied out"))+SUMPRODUCT(--(LEFT('8. Transfers'!$H$9:$H$108,7)=$A465),--('8. Transfers'!$J$9:$J$108="Matched"))+SUMPRODUCT(--(LEFT('8. Transfers'!$I$9:$I$108,7)=$A465),--('8. Transfers'!$J$9:$J$108="Matched"))+IF($O465="",0,COUNTIFS('9. Payroll Allocation'!$B$234:$B$253,$O465,'9. Payroll Allocation'!$H$234:$H$253,"Tied out"))&gt;0,"Linked","MISSING DETAIL")))</f>
        <v/>
      </c>
      <c r="T465" s="58" t="str">
        <f t="shared" si="70"/>
        <v/>
      </c>
      <c r="U465" s="59" t="str">
        <f>IF($T465="","",COUNTIF($T$6:$T465,"?*"))</f>
        <v/>
      </c>
      <c r="V465" s="58" t="str">
        <f t="shared" si="71"/>
        <v/>
      </c>
    </row>
    <row r="466" spans="1:22" ht="12.95" customHeight="1" x14ac:dyDescent="0.25">
      <c r="A466" s="52" t="str">
        <f t="shared" si="63"/>
        <v/>
      </c>
      <c r="B466" s="37"/>
      <c r="C466" s="28"/>
      <c r="D466" s="35"/>
      <c r="E466" s="38"/>
      <c r="F466" s="38"/>
      <c r="G466" s="52" t="str">
        <f t="shared" si="64"/>
        <v/>
      </c>
      <c r="H466" s="53" t="str">
        <f t="shared" si="65"/>
        <v/>
      </c>
      <c r="I466" s="40"/>
      <c r="J466" s="54" t="str">
        <f t="shared" si="66"/>
        <v/>
      </c>
      <c r="K466" s="41" t="str">
        <f t="shared" si="67"/>
        <v/>
      </c>
      <c r="L466" s="55"/>
      <c r="M466" s="56">
        <f t="shared" si="68"/>
        <v>0</v>
      </c>
      <c r="N466" s="56">
        <f t="shared" si="69"/>
        <v>0</v>
      </c>
      <c r="O466" s="57"/>
      <c r="P466" s="40"/>
      <c r="Q466" s="52" t="str">
        <f>IF($D466="","",IF($K466&lt;&gt;"Balance Sheet / Clearing","-",IF(SUMPRODUCT(--(LEFT('7. Settlements'!$J$8:$J$107,7)=$A466),--('7. Settlements'!$M$8:$M$107="Tied out"))+SUMPRODUCT(--(LEFT('8. Transfers'!$H$9:$H$108,7)=$A466),--('8. Transfers'!$J$9:$J$108="Matched"))+SUMPRODUCT(--(LEFT('8. Transfers'!$I$9:$I$108,7)=$A466),--('8. Transfers'!$J$9:$J$108="Matched"))+IF($O466="",0,COUNTIFS('9. Payroll Allocation'!$B$234:$B$253,$O466,'9. Payroll Allocation'!$H$234:$H$253,"Tied out"))&gt;0,"Linked","MISSING DETAIL")))</f>
        <v/>
      </c>
      <c r="T466" s="58" t="str">
        <f t="shared" si="70"/>
        <v/>
      </c>
      <c r="U466" s="59" t="str">
        <f>IF($T466="","",COUNTIF($T$6:$T466,"?*"))</f>
        <v/>
      </c>
      <c r="V466" s="58" t="str">
        <f t="shared" si="71"/>
        <v/>
      </c>
    </row>
    <row r="467" spans="1:22" ht="12.95" customHeight="1" x14ac:dyDescent="0.25">
      <c r="A467" s="60" t="str">
        <f t="shared" si="63"/>
        <v/>
      </c>
      <c r="B467" s="37"/>
      <c r="C467" s="28"/>
      <c r="D467" s="35"/>
      <c r="E467" s="38"/>
      <c r="F467" s="38"/>
      <c r="G467" s="60" t="str">
        <f t="shared" si="64"/>
        <v/>
      </c>
      <c r="H467" s="61" t="str">
        <f t="shared" si="65"/>
        <v/>
      </c>
      <c r="I467" s="40"/>
      <c r="J467" s="62" t="str">
        <f t="shared" si="66"/>
        <v/>
      </c>
      <c r="K467" s="45" t="str">
        <f t="shared" si="67"/>
        <v/>
      </c>
      <c r="L467" s="55"/>
      <c r="M467" s="63">
        <f t="shared" si="68"/>
        <v>0</v>
      </c>
      <c r="N467" s="63">
        <f t="shared" si="69"/>
        <v>0</v>
      </c>
      <c r="O467" s="57"/>
      <c r="P467" s="40"/>
      <c r="Q467" s="60" t="str">
        <f>IF($D467="","",IF($K467&lt;&gt;"Balance Sheet / Clearing","-",IF(SUMPRODUCT(--(LEFT('7. Settlements'!$J$8:$J$107,7)=$A467),--('7. Settlements'!$M$8:$M$107="Tied out"))+SUMPRODUCT(--(LEFT('8. Transfers'!$H$9:$H$108,7)=$A467),--('8. Transfers'!$J$9:$J$108="Matched"))+SUMPRODUCT(--(LEFT('8. Transfers'!$I$9:$I$108,7)=$A467),--('8. Transfers'!$J$9:$J$108="Matched"))+IF($O467="",0,COUNTIFS('9. Payroll Allocation'!$B$234:$B$253,$O467,'9. Payroll Allocation'!$H$234:$H$253,"Tied out"))&gt;0,"Linked","MISSING DETAIL")))</f>
        <v/>
      </c>
      <c r="T467" s="58" t="str">
        <f t="shared" si="70"/>
        <v/>
      </c>
      <c r="U467" s="59" t="str">
        <f>IF($T467="","",COUNTIF($T$6:$T467,"?*"))</f>
        <v/>
      </c>
      <c r="V467" s="58" t="str">
        <f t="shared" si="71"/>
        <v/>
      </c>
    </row>
    <row r="468" spans="1:22" ht="12.95" customHeight="1" x14ac:dyDescent="0.25">
      <c r="A468" s="52" t="str">
        <f t="shared" si="63"/>
        <v/>
      </c>
      <c r="B468" s="37"/>
      <c r="C468" s="28"/>
      <c r="D468" s="35"/>
      <c r="E468" s="38"/>
      <c r="F468" s="38"/>
      <c r="G468" s="52" t="str">
        <f t="shared" si="64"/>
        <v/>
      </c>
      <c r="H468" s="53" t="str">
        <f t="shared" si="65"/>
        <v/>
      </c>
      <c r="I468" s="40"/>
      <c r="J468" s="54" t="str">
        <f t="shared" si="66"/>
        <v/>
      </c>
      <c r="K468" s="41" t="str">
        <f t="shared" si="67"/>
        <v/>
      </c>
      <c r="L468" s="55"/>
      <c r="M468" s="56">
        <f t="shared" si="68"/>
        <v>0</v>
      </c>
      <c r="N468" s="56">
        <f t="shared" si="69"/>
        <v>0</v>
      </c>
      <c r="O468" s="57"/>
      <c r="P468" s="40"/>
      <c r="Q468" s="52" t="str">
        <f>IF($D468="","",IF($K468&lt;&gt;"Balance Sheet / Clearing","-",IF(SUMPRODUCT(--(LEFT('7. Settlements'!$J$8:$J$107,7)=$A468),--('7. Settlements'!$M$8:$M$107="Tied out"))+SUMPRODUCT(--(LEFT('8. Transfers'!$H$9:$H$108,7)=$A468),--('8. Transfers'!$J$9:$J$108="Matched"))+SUMPRODUCT(--(LEFT('8. Transfers'!$I$9:$I$108,7)=$A468),--('8. Transfers'!$J$9:$J$108="Matched"))+IF($O468="",0,COUNTIFS('9. Payroll Allocation'!$B$234:$B$253,$O468,'9. Payroll Allocation'!$H$234:$H$253,"Tied out"))&gt;0,"Linked","MISSING DETAIL")))</f>
        <v/>
      </c>
      <c r="T468" s="58" t="str">
        <f t="shared" si="70"/>
        <v/>
      </c>
      <c r="U468" s="59" t="str">
        <f>IF($T468="","",COUNTIF($T$6:$T468,"?*"))</f>
        <v/>
      </c>
      <c r="V468" s="58" t="str">
        <f t="shared" si="71"/>
        <v/>
      </c>
    </row>
    <row r="469" spans="1:22" ht="12.95" customHeight="1" x14ac:dyDescent="0.25">
      <c r="A469" s="60" t="str">
        <f t="shared" si="63"/>
        <v/>
      </c>
      <c r="B469" s="37"/>
      <c r="C469" s="28"/>
      <c r="D469" s="35"/>
      <c r="E469" s="38"/>
      <c r="F469" s="38"/>
      <c r="G469" s="60" t="str">
        <f t="shared" si="64"/>
        <v/>
      </c>
      <c r="H469" s="61" t="str">
        <f t="shared" si="65"/>
        <v/>
      </c>
      <c r="I469" s="40"/>
      <c r="J469" s="62" t="str">
        <f t="shared" si="66"/>
        <v/>
      </c>
      <c r="K469" s="45" t="str">
        <f t="shared" si="67"/>
        <v/>
      </c>
      <c r="L469" s="55"/>
      <c r="M469" s="63">
        <f t="shared" si="68"/>
        <v>0</v>
      </c>
      <c r="N469" s="63">
        <f t="shared" si="69"/>
        <v>0</v>
      </c>
      <c r="O469" s="57"/>
      <c r="P469" s="40"/>
      <c r="Q469" s="60" t="str">
        <f>IF($D469="","",IF($K469&lt;&gt;"Balance Sheet / Clearing","-",IF(SUMPRODUCT(--(LEFT('7. Settlements'!$J$8:$J$107,7)=$A469),--('7. Settlements'!$M$8:$M$107="Tied out"))+SUMPRODUCT(--(LEFT('8. Transfers'!$H$9:$H$108,7)=$A469),--('8. Transfers'!$J$9:$J$108="Matched"))+SUMPRODUCT(--(LEFT('8. Transfers'!$I$9:$I$108,7)=$A469),--('8. Transfers'!$J$9:$J$108="Matched"))+IF($O469="",0,COUNTIFS('9. Payroll Allocation'!$B$234:$B$253,$O469,'9. Payroll Allocation'!$H$234:$H$253,"Tied out"))&gt;0,"Linked","MISSING DETAIL")))</f>
        <v/>
      </c>
      <c r="T469" s="58" t="str">
        <f t="shared" si="70"/>
        <v/>
      </c>
      <c r="U469" s="59" t="str">
        <f>IF($T469="","",COUNTIF($T$6:$T469,"?*"))</f>
        <v/>
      </c>
      <c r="V469" s="58" t="str">
        <f t="shared" si="71"/>
        <v/>
      </c>
    </row>
    <row r="470" spans="1:22" ht="12.95" customHeight="1" x14ac:dyDescent="0.25">
      <c r="A470" s="52" t="str">
        <f t="shared" si="63"/>
        <v/>
      </c>
      <c r="B470" s="37"/>
      <c r="C470" s="28"/>
      <c r="D470" s="35"/>
      <c r="E470" s="38"/>
      <c r="F470" s="38"/>
      <c r="G470" s="52" t="str">
        <f t="shared" si="64"/>
        <v/>
      </c>
      <c r="H470" s="53" t="str">
        <f t="shared" si="65"/>
        <v/>
      </c>
      <c r="I470" s="40"/>
      <c r="J470" s="54" t="str">
        <f t="shared" si="66"/>
        <v/>
      </c>
      <c r="K470" s="41" t="str">
        <f t="shared" si="67"/>
        <v/>
      </c>
      <c r="L470" s="55"/>
      <c r="M470" s="56">
        <f t="shared" si="68"/>
        <v>0</v>
      </c>
      <c r="N470" s="56">
        <f t="shared" si="69"/>
        <v>0</v>
      </c>
      <c r="O470" s="57"/>
      <c r="P470" s="40"/>
      <c r="Q470" s="52" t="str">
        <f>IF($D470="","",IF($K470&lt;&gt;"Balance Sheet / Clearing","-",IF(SUMPRODUCT(--(LEFT('7. Settlements'!$J$8:$J$107,7)=$A470),--('7. Settlements'!$M$8:$M$107="Tied out"))+SUMPRODUCT(--(LEFT('8. Transfers'!$H$9:$H$108,7)=$A470),--('8. Transfers'!$J$9:$J$108="Matched"))+SUMPRODUCT(--(LEFT('8. Transfers'!$I$9:$I$108,7)=$A470),--('8. Transfers'!$J$9:$J$108="Matched"))+IF($O470="",0,COUNTIFS('9. Payroll Allocation'!$B$234:$B$253,$O470,'9. Payroll Allocation'!$H$234:$H$253,"Tied out"))&gt;0,"Linked","MISSING DETAIL")))</f>
        <v/>
      </c>
      <c r="T470" s="58" t="str">
        <f t="shared" si="70"/>
        <v/>
      </c>
      <c r="U470" s="59" t="str">
        <f>IF($T470="","",COUNTIF($T$6:$T470,"?*"))</f>
        <v/>
      </c>
      <c r="V470" s="58" t="str">
        <f t="shared" si="71"/>
        <v/>
      </c>
    </row>
    <row r="471" spans="1:22" ht="12.95" customHeight="1" x14ac:dyDescent="0.25">
      <c r="A471" s="60" t="str">
        <f t="shared" si="63"/>
        <v/>
      </c>
      <c r="B471" s="37"/>
      <c r="C471" s="28"/>
      <c r="D471" s="35"/>
      <c r="E471" s="38"/>
      <c r="F471" s="38"/>
      <c r="G471" s="60" t="str">
        <f t="shared" si="64"/>
        <v/>
      </c>
      <c r="H471" s="61" t="str">
        <f t="shared" si="65"/>
        <v/>
      </c>
      <c r="I471" s="40"/>
      <c r="J471" s="62" t="str">
        <f t="shared" si="66"/>
        <v/>
      </c>
      <c r="K471" s="45" t="str">
        <f t="shared" si="67"/>
        <v/>
      </c>
      <c r="L471" s="55"/>
      <c r="M471" s="63">
        <f t="shared" si="68"/>
        <v>0</v>
      </c>
      <c r="N471" s="63">
        <f t="shared" si="69"/>
        <v>0</v>
      </c>
      <c r="O471" s="57"/>
      <c r="P471" s="40"/>
      <c r="Q471" s="60" t="str">
        <f>IF($D471="","",IF($K471&lt;&gt;"Balance Sheet / Clearing","-",IF(SUMPRODUCT(--(LEFT('7. Settlements'!$J$8:$J$107,7)=$A471),--('7. Settlements'!$M$8:$M$107="Tied out"))+SUMPRODUCT(--(LEFT('8. Transfers'!$H$9:$H$108,7)=$A471),--('8. Transfers'!$J$9:$J$108="Matched"))+SUMPRODUCT(--(LEFT('8. Transfers'!$I$9:$I$108,7)=$A471),--('8. Transfers'!$J$9:$J$108="Matched"))+IF($O471="",0,COUNTIFS('9. Payroll Allocation'!$B$234:$B$253,$O471,'9. Payroll Allocation'!$H$234:$H$253,"Tied out"))&gt;0,"Linked","MISSING DETAIL")))</f>
        <v/>
      </c>
      <c r="T471" s="58" t="str">
        <f t="shared" si="70"/>
        <v/>
      </c>
      <c r="U471" s="59" t="str">
        <f>IF($T471="","",COUNTIF($T$6:$T471,"?*"))</f>
        <v/>
      </c>
      <c r="V471" s="58" t="str">
        <f t="shared" si="71"/>
        <v/>
      </c>
    </row>
    <row r="472" spans="1:22" ht="12.95" customHeight="1" x14ac:dyDescent="0.25">
      <c r="A472" s="52" t="str">
        <f t="shared" si="63"/>
        <v/>
      </c>
      <c r="B472" s="37"/>
      <c r="C472" s="28"/>
      <c r="D472" s="35"/>
      <c r="E472" s="38"/>
      <c r="F472" s="38"/>
      <c r="G472" s="52" t="str">
        <f t="shared" si="64"/>
        <v/>
      </c>
      <c r="H472" s="53" t="str">
        <f t="shared" si="65"/>
        <v/>
      </c>
      <c r="I472" s="40"/>
      <c r="J472" s="54" t="str">
        <f t="shared" si="66"/>
        <v/>
      </c>
      <c r="K472" s="41" t="str">
        <f t="shared" si="67"/>
        <v/>
      </c>
      <c r="L472" s="55"/>
      <c r="M472" s="56">
        <f t="shared" si="68"/>
        <v>0</v>
      </c>
      <c r="N472" s="56">
        <f t="shared" si="69"/>
        <v>0</v>
      </c>
      <c r="O472" s="57"/>
      <c r="P472" s="40"/>
      <c r="Q472" s="52" t="str">
        <f>IF($D472="","",IF($K472&lt;&gt;"Balance Sheet / Clearing","-",IF(SUMPRODUCT(--(LEFT('7. Settlements'!$J$8:$J$107,7)=$A472),--('7. Settlements'!$M$8:$M$107="Tied out"))+SUMPRODUCT(--(LEFT('8. Transfers'!$H$9:$H$108,7)=$A472),--('8. Transfers'!$J$9:$J$108="Matched"))+SUMPRODUCT(--(LEFT('8. Transfers'!$I$9:$I$108,7)=$A472),--('8. Transfers'!$J$9:$J$108="Matched"))+IF($O472="",0,COUNTIFS('9. Payroll Allocation'!$B$234:$B$253,$O472,'9. Payroll Allocation'!$H$234:$H$253,"Tied out"))&gt;0,"Linked","MISSING DETAIL")))</f>
        <v/>
      </c>
      <c r="T472" s="58" t="str">
        <f t="shared" si="70"/>
        <v/>
      </c>
      <c r="U472" s="59" t="str">
        <f>IF($T472="","",COUNTIF($T$6:$T472,"?*"))</f>
        <v/>
      </c>
      <c r="V472" s="58" t="str">
        <f t="shared" si="71"/>
        <v/>
      </c>
    </row>
    <row r="473" spans="1:22" ht="12.95" customHeight="1" x14ac:dyDescent="0.25">
      <c r="A473" s="60" t="str">
        <f t="shared" si="63"/>
        <v/>
      </c>
      <c r="B473" s="37"/>
      <c r="C473" s="28"/>
      <c r="D473" s="35"/>
      <c r="E473" s="38"/>
      <c r="F473" s="38"/>
      <c r="G473" s="60" t="str">
        <f t="shared" si="64"/>
        <v/>
      </c>
      <c r="H473" s="61" t="str">
        <f t="shared" si="65"/>
        <v/>
      </c>
      <c r="I473" s="40"/>
      <c r="J473" s="62" t="str">
        <f t="shared" si="66"/>
        <v/>
      </c>
      <c r="K473" s="45" t="str">
        <f t="shared" si="67"/>
        <v/>
      </c>
      <c r="L473" s="55"/>
      <c r="M473" s="63">
        <f t="shared" si="68"/>
        <v>0</v>
      </c>
      <c r="N473" s="63">
        <f t="shared" si="69"/>
        <v>0</v>
      </c>
      <c r="O473" s="57"/>
      <c r="P473" s="40"/>
      <c r="Q473" s="60" t="str">
        <f>IF($D473="","",IF($K473&lt;&gt;"Balance Sheet / Clearing","-",IF(SUMPRODUCT(--(LEFT('7. Settlements'!$J$8:$J$107,7)=$A473),--('7. Settlements'!$M$8:$M$107="Tied out"))+SUMPRODUCT(--(LEFT('8. Transfers'!$H$9:$H$108,7)=$A473),--('8. Transfers'!$J$9:$J$108="Matched"))+SUMPRODUCT(--(LEFT('8. Transfers'!$I$9:$I$108,7)=$A473),--('8. Transfers'!$J$9:$J$108="Matched"))+IF($O473="",0,COUNTIFS('9. Payroll Allocation'!$B$234:$B$253,$O473,'9. Payroll Allocation'!$H$234:$H$253,"Tied out"))&gt;0,"Linked","MISSING DETAIL")))</f>
        <v/>
      </c>
      <c r="T473" s="58" t="str">
        <f t="shared" si="70"/>
        <v/>
      </c>
      <c r="U473" s="59" t="str">
        <f>IF($T473="","",COUNTIF($T$6:$T473,"?*"))</f>
        <v/>
      </c>
      <c r="V473" s="58" t="str">
        <f t="shared" si="71"/>
        <v/>
      </c>
    </row>
    <row r="474" spans="1:22" ht="12.95" customHeight="1" x14ac:dyDescent="0.25">
      <c r="A474" s="52" t="str">
        <f t="shared" si="63"/>
        <v/>
      </c>
      <c r="B474" s="37"/>
      <c r="C474" s="28"/>
      <c r="D474" s="35"/>
      <c r="E474" s="38"/>
      <c r="F474" s="38"/>
      <c r="G474" s="52" t="str">
        <f t="shared" si="64"/>
        <v/>
      </c>
      <c r="H474" s="53" t="str">
        <f t="shared" si="65"/>
        <v/>
      </c>
      <c r="I474" s="40"/>
      <c r="J474" s="54" t="str">
        <f t="shared" si="66"/>
        <v/>
      </c>
      <c r="K474" s="41" t="str">
        <f t="shared" si="67"/>
        <v/>
      </c>
      <c r="L474" s="55"/>
      <c r="M474" s="56">
        <f t="shared" si="68"/>
        <v>0</v>
      </c>
      <c r="N474" s="56">
        <f t="shared" si="69"/>
        <v>0</v>
      </c>
      <c r="O474" s="57"/>
      <c r="P474" s="40"/>
      <c r="Q474" s="52" t="str">
        <f>IF($D474="","",IF($K474&lt;&gt;"Balance Sheet / Clearing","-",IF(SUMPRODUCT(--(LEFT('7. Settlements'!$J$8:$J$107,7)=$A474),--('7. Settlements'!$M$8:$M$107="Tied out"))+SUMPRODUCT(--(LEFT('8. Transfers'!$H$9:$H$108,7)=$A474),--('8. Transfers'!$J$9:$J$108="Matched"))+SUMPRODUCT(--(LEFT('8. Transfers'!$I$9:$I$108,7)=$A474),--('8. Transfers'!$J$9:$J$108="Matched"))+IF($O474="",0,COUNTIFS('9. Payroll Allocation'!$B$234:$B$253,$O474,'9. Payroll Allocation'!$H$234:$H$253,"Tied out"))&gt;0,"Linked","MISSING DETAIL")))</f>
        <v/>
      </c>
      <c r="T474" s="58" t="str">
        <f t="shared" si="70"/>
        <v/>
      </c>
      <c r="U474" s="59" t="str">
        <f>IF($T474="","",COUNTIF($T$6:$T474,"?*"))</f>
        <v/>
      </c>
      <c r="V474" s="58" t="str">
        <f t="shared" si="71"/>
        <v/>
      </c>
    </row>
    <row r="475" spans="1:22" ht="12.95" customHeight="1" x14ac:dyDescent="0.25">
      <c r="A475" s="60" t="str">
        <f t="shared" si="63"/>
        <v/>
      </c>
      <c r="B475" s="37"/>
      <c r="C475" s="28"/>
      <c r="D475" s="35"/>
      <c r="E475" s="38"/>
      <c r="F475" s="38"/>
      <c r="G475" s="60" t="str">
        <f t="shared" si="64"/>
        <v/>
      </c>
      <c r="H475" s="61" t="str">
        <f t="shared" si="65"/>
        <v/>
      </c>
      <c r="I475" s="40"/>
      <c r="J475" s="62" t="str">
        <f t="shared" si="66"/>
        <v/>
      </c>
      <c r="K475" s="45" t="str">
        <f t="shared" si="67"/>
        <v/>
      </c>
      <c r="L475" s="55"/>
      <c r="M475" s="63">
        <f t="shared" si="68"/>
        <v>0</v>
      </c>
      <c r="N475" s="63">
        <f t="shared" si="69"/>
        <v>0</v>
      </c>
      <c r="O475" s="57"/>
      <c r="P475" s="40"/>
      <c r="Q475" s="60" t="str">
        <f>IF($D475="","",IF($K475&lt;&gt;"Balance Sheet / Clearing","-",IF(SUMPRODUCT(--(LEFT('7. Settlements'!$J$8:$J$107,7)=$A475),--('7. Settlements'!$M$8:$M$107="Tied out"))+SUMPRODUCT(--(LEFT('8. Transfers'!$H$9:$H$108,7)=$A475),--('8. Transfers'!$J$9:$J$108="Matched"))+SUMPRODUCT(--(LEFT('8. Transfers'!$I$9:$I$108,7)=$A475),--('8. Transfers'!$J$9:$J$108="Matched"))+IF($O475="",0,COUNTIFS('9. Payroll Allocation'!$B$234:$B$253,$O475,'9. Payroll Allocation'!$H$234:$H$253,"Tied out"))&gt;0,"Linked","MISSING DETAIL")))</f>
        <v/>
      </c>
      <c r="T475" s="58" t="str">
        <f t="shared" si="70"/>
        <v/>
      </c>
      <c r="U475" s="59" t="str">
        <f>IF($T475="","",COUNTIF($T$6:$T475,"?*"))</f>
        <v/>
      </c>
      <c r="V475" s="58" t="str">
        <f t="shared" si="71"/>
        <v/>
      </c>
    </row>
    <row r="476" spans="1:22" ht="12.95" customHeight="1" x14ac:dyDescent="0.25">
      <c r="A476" s="52" t="str">
        <f t="shared" si="63"/>
        <v/>
      </c>
      <c r="B476" s="37"/>
      <c r="C476" s="28"/>
      <c r="D476" s="35"/>
      <c r="E476" s="38"/>
      <c r="F476" s="38"/>
      <c r="G476" s="52" t="str">
        <f t="shared" si="64"/>
        <v/>
      </c>
      <c r="H476" s="53" t="str">
        <f t="shared" si="65"/>
        <v/>
      </c>
      <c r="I476" s="40"/>
      <c r="J476" s="54" t="str">
        <f t="shared" si="66"/>
        <v/>
      </c>
      <c r="K476" s="41" t="str">
        <f t="shared" si="67"/>
        <v/>
      </c>
      <c r="L476" s="55"/>
      <c r="M476" s="56">
        <f t="shared" si="68"/>
        <v>0</v>
      </c>
      <c r="N476" s="56">
        <f t="shared" si="69"/>
        <v>0</v>
      </c>
      <c r="O476" s="57"/>
      <c r="P476" s="40"/>
      <c r="Q476" s="52" t="str">
        <f>IF($D476="","",IF($K476&lt;&gt;"Balance Sheet / Clearing","-",IF(SUMPRODUCT(--(LEFT('7. Settlements'!$J$8:$J$107,7)=$A476),--('7. Settlements'!$M$8:$M$107="Tied out"))+SUMPRODUCT(--(LEFT('8. Transfers'!$H$9:$H$108,7)=$A476),--('8. Transfers'!$J$9:$J$108="Matched"))+SUMPRODUCT(--(LEFT('8. Transfers'!$I$9:$I$108,7)=$A476),--('8. Transfers'!$J$9:$J$108="Matched"))+IF($O476="",0,COUNTIFS('9. Payroll Allocation'!$B$234:$B$253,$O476,'9. Payroll Allocation'!$H$234:$H$253,"Tied out"))&gt;0,"Linked","MISSING DETAIL")))</f>
        <v/>
      </c>
      <c r="T476" s="58" t="str">
        <f t="shared" si="70"/>
        <v/>
      </c>
      <c r="U476" s="59" t="str">
        <f>IF($T476="","",COUNTIF($T$6:$T476,"?*"))</f>
        <v/>
      </c>
      <c r="V476" s="58" t="str">
        <f t="shared" si="71"/>
        <v/>
      </c>
    </row>
    <row r="477" spans="1:22" ht="12.95" customHeight="1" x14ac:dyDescent="0.25">
      <c r="A477" s="60" t="str">
        <f t="shared" si="63"/>
        <v/>
      </c>
      <c r="B477" s="37"/>
      <c r="C477" s="28"/>
      <c r="D477" s="35"/>
      <c r="E477" s="38"/>
      <c r="F477" s="38"/>
      <c r="G477" s="60" t="str">
        <f t="shared" si="64"/>
        <v/>
      </c>
      <c r="H477" s="61" t="str">
        <f t="shared" si="65"/>
        <v/>
      </c>
      <c r="I477" s="40"/>
      <c r="J477" s="62" t="str">
        <f t="shared" si="66"/>
        <v/>
      </c>
      <c r="K477" s="45" t="str">
        <f t="shared" si="67"/>
        <v/>
      </c>
      <c r="L477" s="55"/>
      <c r="M477" s="63">
        <f t="shared" si="68"/>
        <v>0</v>
      </c>
      <c r="N477" s="63">
        <f t="shared" si="69"/>
        <v>0</v>
      </c>
      <c r="O477" s="57"/>
      <c r="P477" s="40"/>
      <c r="Q477" s="60" t="str">
        <f>IF($D477="","",IF($K477&lt;&gt;"Balance Sheet / Clearing","-",IF(SUMPRODUCT(--(LEFT('7. Settlements'!$J$8:$J$107,7)=$A477),--('7. Settlements'!$M$8:$M$107="Tied out"))+SUMPRODUCT(--(LEFT('8. Transfers'!$H$9:$H$108,7)=$A477),--('8. Transfers'!$J$9:$J$108="Matched"))+SUMPRODUCT(--(LEFT('8. Transfers'!$I$9:$I$108,7)=$A477),--('8. Transfers'!$J$9:$J$108="Matched"))+IF($O477="",0,COUNTIFS('9. Payroll Allocation'!$B$234:$B$253,$O477,'9. Payroll Allocation'!$H$234:$H$253,"Tied out"))&gt;0,"Linked","MISSING DETAIL")))</f>
        <v/>
      </c>
      <c r="T477" s="58" t="str">
        <f t="shared" si="70"/>
        <v/>
      </c>
      <c r="U477" s="59" t="str">
        <f>IF($T477="","",COUNTIF($T$6:$T477,"?*"))</f>
        <v/>
      </c>
      <c r="V477" s="58" t="str">
        <f t="shared" si="71"/>
        <v/>
      </c>
    </row>
    <row r="478" spans="1:22" ht="12.95" customHeight="1" x14ac:dyDescent="0.25">
      <c r="A478" s="52" t="str">
        <f t="shared" si="63"/>
        <v/>
      </c>
      <c r="B478" s="37"/>
      <c r="C478" s="28"/>
      <c r="D478" s="35"/>
      <c r="E478" s="38"/>
      <c r="F478" s="38"/>
      <c r="G478" s="52" t="str">
        <f t="shared" si="64"/>
        <v/>
      </c>
      <c r="H478" s="53" t="str">
        <f t="shared" si="65"/>
        <v/>
      </c>
      <c r="I478" s="40"/>
      <c r="J478" s="54" t="str">
        <f t="shared" si="66"/>
        <v/>
      </c>
      <c r="K478" s="41" t="str">
        <f t="shared" si="67"/>
        <v/>
      </c>
      <c r="L478" s="55"/>
      <c r="M478" s="56">
        <f t="shared" si="68"/>
        <v>0</v>
      </c>
      <c r="N478" s="56">
        <f t="shared" si="69"/>
        <v>0</v>
      </c>
      <c r="O478" s="57"/>
      <c r="P478" s="40"/>
      <c r="Q478" s="52" t="str">
        <f>IF($D478="","",IF($K478&lt;&gt;"Balance Sheet / Clearing","-",IF(SUMPRODUCT(--(LEFT('7. Settlements'!$J$8:$J$107,7)=$A478),--('7. Settlements'!$M$8:$M$107="Tied out"))+SUMPRODUCT(--(LEFT('8. Transfers'!$H$9:$H$108,7)=$A478),--('8. Transfers'!$J$9:$J$108="Matched"))+SUMPRODUCT(--(LEFT('8. Transfers'!$I$9:$I$108,7)=$A478),--('8. Transfers'!$J$9:$J$108="Matched"))+IF($O478="",0,COUNTIFS('9. Payroll Allocation'!$B$234:$B$253,$O478,'9. Payroll Allocation'!$H$234:$H$253,"Tied out"))&gt;0,"Linked","MISSING DETAIL")))</f>
        <v/>
      </c>
      <c r="T478" s="58" t="str">
        <f t="shared" si="70"/>
        <v/>
      </c>
      <c r="U478" s="59" t="str">
        <f>IF($T478="","",COUNTIF($T$6:$T478,"?*"))</f>
        <v/>
      </c>
      <c r="V478" s="58" t="str">
        <f t="shared" si="71"/>
        <v/>
      </c>
    </row>
    <row r="479" spans="1:22" ht="12.95" customHeight="1" x14ac:dyDescent="0.25">
      <c r="A479" s="60" t="str">
        <f t="shared" si="63"/>
        <v/>
      </c>
      <c r="B479" s="37"/>
      <c r="C479" s="28"/>
      <c r="D479" s="35"/>
      <c r="E479" s="38"/>
      <c r="F479" s="38"/>
      <c r="G479" s="60" t="str">
        <f t="shared" si="64"/>
        <v/>
      </c>
      <c r="H479" s="61" t="str">
        <f t="shared" si="65"/>
        <v/>
      </c>
      <c r="I479" s="40"/>
      <c r="J479" s="62" t="str">
        <f t="shared" si="66"/>
        <v/>
      </c>
      <c r="K479" s="45" t="str">
        <f t="shared" si="67"/>
        <v/>
      </c>
      <c r="L479" s="55"/>
      <c r="M479" s="63">
        <f t="shared" si="68"/>
        <v>0</v>
      </c>
      <c r="N479" s="63">
        <f t="shared" si="69"/>
        <v>0</v>
      </c>
      <c r="O479" s="57"/>
      <c r="P479" s="40"/>
      <c r="Q479" s="60" t="str">
        <f>IF($D479="","",IF($K479&lt;&gt;"Balance Sheet / Clearing","-",IF(SUMPRODUCT(--(LEFT('7. Settlements'!$J$8:$J$107,7)=$A479),--('7. Settlements'!$M$8:$M$107="Tied out"))+SUMPRODUCT(--(LEFT('8. Transfers'!$H$9:$H$108,7)=$A479),--('8. Transfers'!$J$9:$J$108="Matched"))+SUMPRODUCT(--(LEFT('8. Transfers'!$I$9:$I$108,7)=$A479),--('8. Transfers'!$J$9:$J$108="Matched"))+IF($O479="",0,COUNTIFS('9. Payroll Allocation'!$B$234:$B$253,$O479,'9. Payroll Allocation'!$H$234:$H$253,"Tied out"))&gt;0,"Linked","MISSING DETAIL")))</f>
        <v/>
      </c>
      <c r="T479" s="58" t="str">
        <f t="shared" si="70"/>
        <v/>
      </c>
      <c r="U479" s="59" t="str">
        <f>IF($T479="","",COUNTIF($T$6:$T479,"?*"))</f>
        <v/>
      </c>
      <c r="V479" s="58" t="str">
        <f t="shared" si="71"/>
        <v/>
      </c>
    </row>
    <row r="480" spans="1:22" ht="12.95" customHeight="1" x14ac:dyDescent="0.25">
      <c r="A480" s="52" t="str">
        <f t="shared" si="63"/>
        <v/>
      </c>
      <c r="B480" s="37"/>
      <c r="C480" s="28"/>
      <c r="D480" s="35"/>
      <c r="E480" s="38"/>
      <c r="F480" s="38"/>
      <c r="G480" s="52" t="str">
        <f t="shared" si="64"/>
        <v/>
      </c>
      <c r="H480" s="53" t="str">
        <f t="shared" si="65"/>
        <v/>
      </c>
      <c r="I480" s="40"/>
      <c r="J480" s="54" t="str">
        <f t="shared" si="66"/>
        <v/>
      </c>
      <c r="K480" s="41" t="str">
        <f t="shared" si="67"/>
        <v/>
      </c>
      <c r="L480" s="55"/>
      <c r="M480" s="56">
        <f t="shared" si="68"/>
        <v>0</v>
      </c>
      <c r="N480" s="56">
        <f t="shared" si="69"/>
        <v>0</v>
      </c>
      <c r="O480" s="57"/>
      <c r="P480" s="40"/>
      <c r="Q480" s="52" t="str">
        <f>IF($D480="","",IF($K480&lt;&gt;"Balance Sheet / Clearing","-",IF(SUMPRODUCT(--(LEFT('7. Settlements'!$J$8:$J$107,7)=$A480),--('7. Settlements'!$M$8:$M$107="Tied out"))+SUMPRODUCT(--(LEFT('8. Transfers'!$H$9:$H$108,7)=$A480),--('8. Transfers'!$J$9:$J$108="Matched"))+SUMPRODUCT(--(LEFT('8. Transfers'!$I$9:$I$108,7)=$A480),--('8. Transfers'!$J$9:$J$108="Matched"))+IF($O480="",0,COUNTIFS('9. Payroll Allocation'!$B$234:$B$253,$O480,'9. Payroll Allocation'!$H$234:$H$253,"Tied out"))&gt;0,"Linked","MISSING DETAIL")))</f>
        <v/>
      </c>
      <c r="T480" s="58" t="str">
        <f t="shared" si="70"/>
        <v/>
      </c>
      <c r="U480" s="59" t="str">
        <f>IF($T480="","",COUNTIF($T$6:$T480,"?*"))</f>
        <v/>
      </c>
      <c r="V480" s="58" t="str">
        <f t="shared" si="71"/>
        <v/>
      </c>
    </row>
    <row r="481" spans="1:22" ht="12.95" customHeight="1" x14ac:dyDescent="0.25">
      <c r="A481" s="60" t="str">
        <f t="shared" si="63"/>
        <v/>
      </c>
      <c r="B481" s="37"/>
      <c r="C481" s="28"/>
      <c r="D481" s="35"/>
      <c r="E481" s="38"/>
      <c r="F481" s="38"/>
      <c r="G481" s="60" t="str">
        <f t="shared" si="64"/>
        <v/>
      </c>
      <c r="H481" s="61" t="str">
        <f t="shared" si="65"/>
        <v/>
      </c>
      <c r="I481" s="40"/>
      <c r="J481" s="62" t="str">
        <f t="shared" si="66"/>
        <v/>
      </c>
      <c r="K481" s="45" t="str">
        <f t="shared" si="67"/>
        <v/>
      </c>
      <c r="L481" s="55"/>
      <c r="M481" s="63">
        <f t="shared" si="68"/>
        <v>0</v>
      </c>
      <c r="N481" s="63">
        <f t="shared" si="69"/>
        <v>0</v>
      </c>
      <c r="O481" s="57"/>
      <c r="P481" s="40"/>
      <c r="Q481" s="60" t="str">
        <f>IF($D481="","",IF($K481&lt;&gt;"Balance Sheet / Clearing","-",IF(SUMPRODUCT(--(LEFT('7. Settlements'!$J$8:$J$107,7)=$A481),--('7. Settlements'!$M$8:$M$107="Tied out"))+SUMPRODUCT(--(LEFT('8. Transfers'!$H$9:$H$108,7)=$A481),--('8. Transfers'!$J$9:$J$108="Matched"))+SUMPRODUCT(--(LEFT('8. Transfers'!$I$9:$I$108,7)=$A481),--('8. Transfers'!$J$9:$J$108="Matched"))+IF($O481="",0,COUNTIFS('9. Payroll Allocation'!$B$234:$B$253,$O481,'9. Payroll Allocation'!$H$234:$H$253,"Tied out"))&gt;0,"Linked","MISSING DETAIL")))</f>
        <v/>
      </c>
      <c r="T481" s="58" t="str">
        <f t="shared" si="70"/>
        <v/>
      </c>
      <c r="U481" s="59" t="str">
        <f>IF($T481="","",COUNTIF($T$6:$T481,"?*"))</f>
        <v/>
      </c>
      <c r="V481" s="58" t="str">
        <f t="shared" si="71"/>
        <v/>
      </c>
    </row>
    <row r="482" spans="1:22" ht="12.95" customHeight="1" x14ac:dyDescent="0.25">
      <c r="A482" s="52" t="str">
        <f t="shared" si="63"/>
        <v/>
      </c>
      <c r="B482" s="37"/>
      <c r="C482" s="28"/>
      <c r="D482" s="35"/>
      <c r="E482" s="38"/>
      <c r="F482" s="38"/>
      <c r="G482" s="52" t="str">
        <f t="shared" si="64"/>
        <v/>
      </c>
      <c r="H482" s="53" t="str">
        <f t="shared" si="65"/>
        <v/>
      </c>
      <c r="I482" s="40"/>
      <c r="J482" s="54" t="str">
        <f t="shared" si="66"/>
        <v/>
      </c>
      <c r="K482" s="41" t="str">
        <f t="shared" si="67"/>
        <v/>
      </c>
      <c r="L482" s="55"/>
      <c r="M482" s="56">
        <f t="shared" si="68"/>
        <v>0</v>
      </c>
      <c r="N482" s="56">
        <f t="shared" si="69"/>
        <v>0</v>
      </c>
      <c r="O482" s="57"/>
      <c r="P482" s="40"/>
      <c r="Q482" s="52" t="str">
        <f>IF($D482="","",IF($K482&lt;&gt;"Balance Sheet / Clearing","-",IF(SUMPRODUCT(--(LEFT('7. Settlements'!$J$8:$J$107,7)=$A482),--('7. Settlements'!$M$8:$M$107="Tied out"))+SUMPRODUCT(--(LEFT('8. Transfers'!$H$9:$H$108,7)=$A482),--('8. Transfers'!$J$9:$J$108="Matched"))+SUMPRODUCT(--(LEFT('8. Transfers'!$I$9:$I$108,7)=$A482),--('8. Transfers'!$J$9:$J$108="Matched"))+IF($O482="",0,COUNTIFS('9. Payroll Allocation'!$B$234:$B$253,$O482,'9. Payroll Allocation'!$H$234:$H$253,"Tied out"))&gt;0,"Linked","MISSING DETAIL")))</f>
        <v/>
      </c>
      <c r="T482" s="58" t="str">
        <f t="shared" si="70"/>
        <v/>
      </c>
      <c r="U482" s="59" t="str">
        <f>IF($T482="","",COUNTIF($T$6:$T482,"?*"))</f>
        <v/>
      </c>
      <c r="V482" s="58" t="str">
        <f t="shared" si="71"/>
        <v/>
      </c>
    </row>
    <row r="483" spans="1:22" ht="12.95" customHeight="1" x14ac:dyDescent="0.25">
      <c r="A483" s="60" t="str">
        <f t="shared" si="63"/>
        <v/>
      </c>
      <c r="B483" s="37"/>
      <c r="C483" s="28"/>
      <c r="D483" s="35"/>
      <c r="E483" s="38"/>
      <c r="F483" s="38"/>
      <c r="G483" s="60" t="str">
        <f t="shared" si="64"/>
        <v/>
      </c>
      <c r="H483" s="61" t="str">
        <f t="shared" si="65"/>
        <v/>
      </c>
      <c r="I483" s="40"/>
      <c r="J483" s="62" t="str">
        <f t="shared" si="66"/>
        <v/>
      </c>
      <c r="K483" s="45" t="str">
        <f t="shared" si="67"/>
        <v/>
      </c>
      <c r="L483" s="55"/>
      <c r="M483" s="63">
        <f t="shared" si="68"/>
        <v>0</v>
      </c>
      <c r="N483" s="63">
        <f t="shared" si="69"/>
        <v>0</v>
      </c>
      <c r="O483" s="57"/>
      <c r="P483" s="40"/>
      <c r="Q483" s="60" t="str">
        <f>IF($D483="","",IF($K483&lt;&gt;"Balance Sheet / Clearing","-",IF(SUMPRODUCT(--(LEFT('7. Settlements'!$J$8:$J$107,7)=$A483),--('7. Settlements'!$M$8:$M$107="Tied out"))+SUMPRODUCT(--(LEFT('8. Transfers'!$H$9:$H$108,7)=$A483),--('8. Transfers'!$J$9:$J$108="Matched"))+SUMPRODUCT(--(LEFT('8. Transfers'!$I$9:$I$108,7)=$A483),--('8. Transfers'!$J$9:$J$108="Matched"))+IF($O483="",0,COUNTIFS('9. Payroll Allocation'!$B$234:$B$253,$O483,'9. Payroll Allocation'!$H$234:$H$253,"Tied out"))&gt;0,"Linked","MISSING DETAIL")))</f>
        <v/>
      </c>
      <c r="T483" s="58" t="str">
        <f t="shared" si="70"/>
        <v/>
      </c>
      <c r="U483" s="59" t="str">
        <f>IF($T483="","",COUNTIF($T$6:$T483,"?*"))</f>
        <v/>
      </c>
      <c r="V483" s="58" t="str">
        <f t="shared" si="71"/>
        <v/>
      </c>
    </row>
    <row r="484" spans="1:22" ht="12.95" customHeight="1" x14ac:dyDescent="0.25">
      <c r="A484" s="52" t="str">
        <f t="shared" si="63"/>
        <v/>
      </c>
      <c r="B484" s="37"/>
      <c r="C484" s="28"/>
      <c r="D484" s="35"/>
      <c r="E484" s="38"/>
      <c r="F484" s="38"/>
      <c r="G484" s="52" t="str">
        <f t="shared" si="64"/>
        <v/>
      </c>
      <c r="H484" s="53" t="str">
        <f t="shared" si="65"/>
        <v/>
      </c>
      <c r="I484" s="40"/>
      <c r="J484" s="54" t="str">
        <f t="shared" si="66"/>
        <v/>
      </c>
      <c r="K484" s="41" t="str">
        <f t="shared" si="67"/>
        <v/>
      </c>
      <c r="L484" s="55"/>
      <c r="M484" s="56">
        <f t="shared" si="68"/>
        <v>0</v>
      </c>
      <c r="N484" s="56">
        <f t="shared" si="69"/>
        <v>0</v>
      </c>
      <c r="O484" s="57"/>
      <c r="P484" s="40"/>
      <c r="Q484" s="52" t="str">
        <f>IF($D484="","",IF($K484&lt;&gt;"Balance Sheet / Clearing","-",IF(SUMPRODUCT(--(LEFT('7. Settlements'!$J$8:$J$107,7)=$A484),--('7. Settlements'!$M$8:$M$107="Tied out"))+SUMPRODUCT(--(LEFT('8. Transfers'!$H$9:$H$108,7)=$A484),--('8. Transfers'!$J$9:$J$108="Matched"))+SUMPRODUCT(--(LEFT('8. Transfers'!$I$9:$I$108,7)=$A484),--('8. Transfers'!$J$9:$J$108="Matched"))+IF($O484="",0,COUNTIFS('9. Payroll Allocation'!$B$234:$B$253,$O484,'9. Payroll Allocation'!$H$234:$H$253,"Tied out"))&gt;0,"Linked","MISSING DETAIL")))</f>
        <v/>
      </c>
      <c r="T484" s="58" t="str">
        <f t="shared" si="70"/>
        <v/>
      </c>
      <c r="U484" s="59" t="str">
        <f>IF($T484="","",COUNTIF($T$6:$T484,"?*"))</f>
        <v/>
      </c>
      <c r="V484" s="58" t="str">
        <f t="shared" si="71"/>
        <v/>
      </c>
    </row>
    <row r="485" spans="1:22" ht="12.95" customHeight="1" x14ac:dyDescent="0.25">
      <c r="A485" s="60" t="str">
        <f t="shared" si="63"/>
        <v/>
      </c>
      <c r="B485" s="37"/>
      <c r="C485" s="28"/>
      <c r="D485" s="35"/>
      <c r="E485" s="38"/>
      <c r="F485" s="38"/>
      <c r="G485" s="60" t="str">
        <f t="shared" si="64"/>
        <v/>
      </c>
      <c r="H485" s="61" t="str">
        <f t="shared" si="65"/>
        <v/>
      </c>
      <c r="I485" s="40"/>
      <c r="J485" s="62" t="str">
        <f t="shared" si="66"/>
        <v/>
      </c>
      <c r="K485" s="45" t="str">
        <f t="shared" si="67"/>
        <v/>
      </c>
      <c r="L485" s="55"/>
      <c r="M485" s="63">
        <f t="shared" si="68"/>
        <v>0</v>
      </c>
      <c r="N485" s="63">
        <f t="shared" si="69"/>
        <v>0</v>
      </c>
      <c r="O485" s="57"/>
      <c r="P485" s="40"/>
      <c r="Q485" s="60" t="str">
        <f>IF($D485="","",IF($K485&lt;&gt;"Balance Sheet / Clearing","-",IF(SUMPRODUCT(--(LEFT('7. Settlements'!$J$8:$J$107,7)=$A485),--('7. Settlements'!$M$8:$M$107="Tied out"))+SUMPRODUCT(--(LEFT('8. Transfers'!$H$9:$H$108,7)=$A485),--('8. Transfers'!$J$9:$J$108="Matched"))+SUMPRODUCT(--(LEFT('8. Transfers'!$I$9:$I$108,7)=$A485),--('8. Transfers'!$J$9:$J$108="Matched"))+IF($O485="",0,COUNTIFS('9. Payroll Allocation'!$B$234:$B$253,$O485,'9. Payroll Allocation'!$H$234:$H$253,"Tied out"))&gt;0,"Linked","MISSING DETAIL")))</f>
        <v/>
      </c>
      <c r="T485" s="58" t="str">
        <f t="shared" si="70"/>
        <v/>
      </c>
      <c r="U485" s="59" t="str">
        <f>IF($T485="","",COUNTIF($T$6:$T485,"?*"))</f>
        <v/>
      </c>
      <c r="V485" s="58" t="str">
        <f t="shared" si="71"/>
        <v/>
      </c>
    </row>
    <row r="486" spans="1:22" ht="12.95" customHeight="1" x14ac:dyDescent="0.25">
      <c r="A486" s="52" t="str">
        <f t="shared" si="63"/>
        <v/>
      </c>
      <c r="B486" s="37"/>
      <c r="C486" s="28"/>
      <c r="D486" s="35"/>
      <c r="E486" s="38"/>
      <c r="F486" s="38"/>
      <c r="G486" s="52" t="str">
        <f t="shared" si="64"/>
        <v/>
      </c>
      <c r="H486" s="53" t="str">
        <f t="shared" si="65"/>
        <v/>
      </c>
      <c r="I486" s="40"/>
      <c r="J486" s="54" t="str">
        <f t="shared" si="66"/>
        <v/>
      </c>
      <c r="K486" s="41" t="str">
        <f t="shared" si="67"/>
        <v/>
      </c>
      <c r="L486" s="55"/>
      <c r="M486" s="56">
        <f t="shared" si="68"/>
        <v>0</v>
      </c>
      <c r="N486" s="56">
        <f t="shared" si="69"/>
        <v>0</v>
      </c>
      <c r="O486" s="57"/>
      <c r="P486" s="40"/>
      <c r="Q486" s="52" t="str">
        <f>IF($D486="","",IF($K486&lt;&gt;"Balance Sheet / Clearing","-",IF(SUMPRODUCT(--(LEFT('7. Settlements'!$J$8:$J$107,7)=$A486),--('7. Settlements'!$M$8:$M$107="Tied out"))+SUMPRODUCT(--(LEFT('8. Transfers'!$H$9:$H$108,7)=$A486),--('8. Transfers'!$J$9:$J$108="Matched"))+SUMPRODUCT(--(LEFT('8. Transfers'!$I$9:$I$108,7)=$A486),--('8. Transfers'!$J$9:$J$108="Matched"))+IF($O486="",0,COUNTIFS('9. Payroll Allocation'!$B$234:$B$253,$O486,'9. Payroll Allocation'!$H$234:$H$253,"Tied out"))&gt;0,"Linked","MISSING DETAIL")))</f>
        <v/>
      </c>
      <c r="T486" s="58" t="str">
        <f t="shared" si="70"/>
        <v/>
      </c>
      <c r="U486" s="59" t="str">
        <f>IF($T486="","",COUNTIF($T$6:$T486,"?*"))</f>
        <v/>
      </c>
      <c r="V486" s="58" t="str">
        <f t="shared" si="71"/>
        <v/>
      </c>
    </row>
    <row r="487" spans="1:22" ht="12.95" customHeight="1" x14ac:dyDescent="0.25">
      <c r="A487" s="60" t="str">
        <f t="shared" si="63"/>
        <v/>
      </c>
      <c r="B487" s="37"/>
      <c r="C487" s="28"/>
      <c r="D487" s="35"/>
      <c r="E487" s="38"/>
      <c r="F487" s="38"/>
      <c r="G487" s="60" t="str">
        <f t="shared" si="64"/>
        <v/>
      </c>
      <c r="H487" s="61" t="str">
        <f t="shared" si="65"/>
        <v/>
      </c>
      <c r="I487" s="40"/>
      <c r="J487" s="62" t="str">
        <f t="shared" si="66"/>
        <v/>
      </c>
      <c r="K487" s="45" t="str">
        <f t="shared" si="67"/>
        <v/>
      </c>
      <c r="L487" s="55"/>
      <c r="M487" s="63">
        <f t="shared" si="68"/>
        <v>0</v>
      </c>
      <c r="N487" s="63">
        <f t="shared" si="69"/>
        <v>0</v>
      </c>
      <c r="O487" s="57"/>
      <c r="P487" s="40"/>
      <c r="Q487" s="60" t="str">
        <f>IF($D487="","",IF($K487&lt;&gt;"Balance Sheet / Clearing","-",IF(SUMPRODUCT(--(LEFT('7. Settlements'!$J$8:$J$107,7)=$A487),--('7. Settlements'!$M$8:$M$107="Tied out"))+SUMPRODUCT(--(LEFT('8. Transfers'!$H$9:$H$108,7)=$A487),--('8. Transfers'!$J$9:$J$108="Matched"))+SUMPRODUCT(--(LEFT('8. Transfers'!$I$9:$I$108,7)=$A487),--('8. Transfers'!$J$9:$J$108="Matched"))+IF($O487="",0,COUNTIFS('9. Payroll Allocation'!$B$234:$B$253,$O487,'9. Payroll Allocation'!$H$234:$H$253,"Tied out"))&gt;0,"Linked","MISSING DETAIL")))</f>
        <v/>
      </c>
      <c r="T487" s="58" t="str">
        <f t="shared" si="70"/>
        <v/>
      </c>
      <c r="U487" s="59" t="str">
        <f>IF($T487="","",COUNTIF($T$6:$T487,"?*"))</f>
        <v/>
      </c>
      <c r="V487" s="58" t="str">
        <f t="shared" si="71"/>
        <v/>
      </c>
    </row>
    <row r="488" spans="1:22" ht="12.95" customHeight="1" x14ac:dyDescent="0.25">
      <c r="A488" s="52" t="str">
        <f t="shared" si="63"/>
        <v/>
      </c>
      <c r="B488" s="37"/>
      <c r="C488" s="28"/>
      <c r="D488" s="35"/>
      <c r="E488" s="38"/>
      <c r="F488" s="38"/>
      <c r="G488" s="52" t="str">
        <f t="shared" si="64"/>
        <v/>
      </c>
      <c r="H488" s="53" t="str">
        <f t="shared" si="65"/>
        <v/>
      </c>
      <c r="I488" s="40"/>
      <c r="J488" s="54" t="str">
        <f t="shared" si="66"/>
        <v/>
      </c>
      <c r="K488" s="41" t="str">
        <f t="shared" si="67"/>
        <v/>
      </c>
      <c r="L488" s="55"/>
      <c r="M488" s="56">
        <f t="shared" si="68"/>
        <v>0</v>
      </c>
      <c r="N488" s="56">
        <f t="shared" si="69"/>
        <v>0</v>
      </c>
      <c r="O488" s="57"/>
      <c r="P488" s="40"/>
      <c r="Q488" s="52" t="str">
        <f>IF($D488="","",IF($K488&lt;&gt;"Balance Sheet / Clearing","-",IF(SUMPRODUCT(--(LEFT('7. Settlements'!$J$8:$J$107,7)=$A488),--('7. Settlements'!$M$8:$M$107="Tied out"))+SUMPRODUCT(--(LEFT('8. Transfers'!$H$9:$H$108,7)=$A488),--('8. Transfers'!$J$9:$J$108="Matched"))+SUMPRODUCT(--(LEFT('8. Transfers'!$I$9:$I$108,7)=$A488),--('8. Transfers'!$J$9:$J$108="Matched"))+IF($O488="",0,COUNTIFS('9. Payroll Allocation'!$B$234:$B$253,$O488,'9. Payroll Allocation'!$H$234:$H$253,"Tied out"))&gt;0,"Linked","MISSING DETAIL")))</f>
        <v/>
      </c>
      <c r="T488" s="58" t="str">
        <f t="shared" si="70"/>
        <v/>
      </c>
      <c r="U488" s="59" t="str">
        <f>IF($T488="","",COUNTIF($T$6:$T488,"?*"))</f>
        <v/>
      </c>
      <c r="V488" s="58" t="str">
        <f t="shared" si="71"/>
        <v/>
      </c>
    </row>
    <row r="489" spans="1:22" ht="12.95" customHeight="1" x14ac:dyDescent="0.25">
      <c r="A489" s="60" t="str">
        <f t="shared" si="63"/>
        <v/>
      </c>
      <c r="B489" s="37"/>
      <c r="C489" s="28"/>
      <c r="D489" s="35"/>
      <c r="E489" s="38"/>
      <c r="F489" s="38"/>
      <c r="G489" s="60" t="str">
        <f t="shared" si="64"/>
        <v/>
      </c>
      <c r="H489" s="61" t="str">
        <f t="shared" si="65"/>
        <v/>
      </c>
      <c r="I489" s="40"/>
      <c r="J489" s="62" t="str">
        <f t="shared" si="66"/>
        <v/>
      </c>
      <c r="K489" s="45" t="str">
        <f t="shared" si="67"/>
        <v/>
      </c>
      <c r="L489" s="55"/>
      <c r="M489" s="63">
        <f t="shared" si="68"/>
        <v>0</v>
      </c>
      <c r="N489" s="63">
        <f t="shared" si="69"/>
        <v>0</v>
      </c>
      <c r="O489" s="57"/>
      <c r="P489" s="40"/>
      <c r="Q489" s="60" t="str">
        <f>IF($D489="","",IF($K489&lt;&gt;"Balance Sheet / Clearing","-",IF(SUMPRODUCT(--(LEFT('7. Settlements'!$J$8:$J$107,7)=$A489),--('7. Settlements'!$M$8:$M$107="Tied out"))+SUMPRODUCT(--(LEFT('8. Transfers'!$H$9:$H$108,7)=$A489),--('8. Transfers'!$J$9:$J$108="Matched"))+SUMPRODUCT(--(LEFT('8. Transfers'!$I$9:$I$108,7)=$A489),--('8. Transfers'!$J$9:$J$108="Matched"))+IF($O489="",0,COUNTIFS('9. Payroll Allocation'!$B$234:$B$253,$O489,'9. Payroll Allocation'!$H$234:$H$253,"Tied out"))&gt;0,"Linked","MISSING DETAIL")))</f>
        <v/>
      </c>
      <c r="T489" s="58" t="str">
        <f t="shared" si="70"/>
        <v/>
      </c>
      <c r="U489" s="59" t="str">
        <f>IF($T489="","",COUNTIF($T$6:$T489,"?*"))</f>
        <v/>
      </c>
      <c r="V489" s="58" t="str">
        <f t="shared" si="71"/>
        <v/>
      </c>
    </row>
    <row r="490" spans="1:22" ht="12.95" customHeight="1" x14ac:dyDescent="0.25">
      <c r="A490" s="52" t="str">
        <f t="shared" si="63"/>
        <v/>
      </c>
      <c r="B490" s="37"/>
      <c r="C490" s="28"/>
      <c r="D490" s="35"/>
      <c r="E490" s="38"/>
      <c r="F490" s="38"/>
      <c r="G490" s="52" t="str">
        <f t="shared" si="64"/>
        <v/>
      </c>
      <c r="H490" s="53" t="str">
        <f t="shared" si="65"/>
        <v/>
      </c>
      <c r="I490" s="40"/>
      <c r="J490" s="54" t="str">
        <f t="shared" si="66"/>
        <v/>
      </c>
      <c r="K490" s="41" t="str">
        <f t="shared" si="67"/>
        <v/>
      </c>
      <c r="L490" s="55"/>
      <c r="M490" s="56">
        <f t="shared" si="68"/>
        <v>0</v>
      </c>
      <c r="N490" s="56">
        <f t="shared" si="69"/>
        <v>0</v>
      </c>
      <c r="O490" s="57"/>
      <c r="P490" s="40"/>
      <c r="Q490" s="52" t="str">
        <f>IF($D490="","",IF($K490&lt;&gt;"Balance Sheet / Clearing","-",IF(SUMPRODUCT(--(LEFT('7. Settlements'!$J$8:$J$107,7)=$A490),--('7. Settlements'!$M$8:$M$107="Tied out"))+SUMPRODUCT(--(LEFT('8. Transfers'!$H$9:$H$108,7)=$A490),--('8. Transfers'!$J$9:$J$108="Matched"))+SUMPRODUCT(--(LEFT('8. Transfers'!$I$9:$I$108,7)=$A490),--('8. Transfers'!$J$9:$J$108="Matched"))+IF($O490="",0,COUNTIFS('9. Payroll Allocation'!$B$234:$B$253,$O490,'9. Payroll Allocation'!$H$234:$H$253,"Tied out"))&gt;0,"Linked","MISSING DETAIL")))</f>
        <v/>
      </c>
      <c r="T490" s="58" t="str">
        <f t="shared" si="70"/>
        <v/>
      </c>
      <c r="U490" s="59" t="str">
        <f>IF($T490="","",COUNTIF($T$6:$T490,"?*"))</f>
        <v/>
      </c>
      <c r="V490" s="58" t="str">
        <f t="shared" si="71"/>
        <v/>
      </c>
    </row>
    <row r="491" spans="1:22" ht="12.95" customHeight="1" x14ac:dyDescent="0.25">
      <c r="A491" s="60" t="str">
        <f t="shared" si="63"/>
        <v/>
      </c>
      <c r="B491" s="37"/>
      <c r="C491" s="28"/>
      <c r="D491" s="35"/>
      <c r="E491" s="38"/>
      <c r="F491" s="38"/>
      <c r="G491" s="60" t="str">
        <f t="shared" si="64"/>
        <v/>
      </c>
      <c r="H491" s="61" t="str">
        <f t="shared" si="65"/>
        <v/>
      </c>
      <c r="I491" s="40"/>
      <c r="J491" s="62" t="str">
        <f t="shared" si="66"/>
        <v/>
      </c>
      <c r="K491" s="45" t="str">
        <f t="shared" si="67"/>
        <v/>
      </c>
      <c r="L491" s="55"/>
      <c r="M491" s="63">
        <f t="shared" si="68"/>
        <v>0</v>
      </c>
      <c r="N491" s="63">
        <f t="shared" si="69"/>
        <v>0</v>
      </c>
      <c r="O491" s="57"/>
      <c r="P491" s="40"/>
      <c r="Q491" s="60" t="str">
        <f>IF($D491="","",IF($K491&lt;&gt;"Balance Sheet / Clearing","-",IF(SUMPRODUCT(--(LEFT('7. Settlements'!$J$8:$J$107,7)=$A491),--('7. Settlements'!$M$8:$M$107="Tied out"))+SUMPRODUCT(--(LEFT('8. Transfers'!$H$9:$H$108,7)=$A491),--('8. Transfers'!$J$9:$J$108="Matched"))+SUMPRODUCT(--(LEFT('8. Transfers'!$I$9:$I$108,7)=$A491),--('8. Transfers'!$J$9:$J$108="Matched"))+IF($O491="",0,COUNTIFS('9. Payroll Allocation'!$B$234:$B$253,$O491,'9. Payroll Allocation'!$H$234:$H$253,"Tied out"))&gt;0,"Linked","MISSING DETAIL")))</f>
        <v/>
      </c>
      <c r="T491" s="58" t="str">
        <f t="shared" si="70"/>
        <v/>
      </c>
      <c r="U491" s="59" t="str">
        <f>IF($T491="","",COUNTIF($T$6:$T491,"?*"))</f>
        <v/>
      </c>
      <c r="V491" s="58" t="str">
        <f t="shared" si="71"/>
        <v/>
      </c>
    </row>
    <row r="492" spans="1:22" ht="12.95" customHeight="1" x14ac:dyDescent="0.25">
      <c r="A492" s="52" t="str">
        <f t="shared" si="63"/>
        <v/>
      </c>
      <c r="B492" s="37"/>
      <c r="C492" s="28"/>
      <c r="D492" s="35"/>
      <c r="E492" s="38"/>
      <c r="F492" s="38"/>
      <c r="G492" s="52" t="str">
        <f t="shared" si="64"/>
        <v/>
      </c>
      <c r="H492" s="53" t="str">
        <f t="shared" si="65"/>
        <v/>
      </c>
      <c r="I492" s="40"/>
      <c r="J492" s="54" t="str">
        <f t="shared" si="66"/>
        <v/>
      </c>
      <c r="K492" s="41" t="str">
        <f t="shared" si="67"/>
        <v/>
      </c>
      <c r="L492" s="55"/>
      <c r="M492" s="56">
        <f t="shared" si="68"/>
        <v>0</v>
      </c>
      <c r="N492" s="56">
        <f t="shared" si="69"/>
        <v>0</v>
      </c>
      <c r="O492" s="57"/>
      <c r="P492" s="40"/>
      <c r="Q492" s="52" t="str">
        <f>IF($D492="","",IF($K492&lt;&gt;"Balance Sheet / Clearing","-",IF(SUMPRODUCT(--(LEFT('7. Settlements'!$J$8:$J$107,7)=$A492),--('7. Settlements'!$M$8:$M$107="Tied out"))+SUMPRODUCT(--(LEFT('8. Transfers'!$H$9:$H$108,7)=$A492),--('8. Transfers'!$J$9:$J$108="Matched"))+SUMPRODUCT(--(LEFT('8. Transfers'!$I$9:$I$108,7)=$A492),--('8. Transfers'!$J$9:$J$108="Matched"))+IF($O492="",0,COUNTIFS('9. Payroll Allocation'!$B$234:$B$253,$O492,'9. Payroll Allocation'!$H$234:$H$253,"Tied out"))&gt;0,"Linked","MISSING DETAIL")))</f>
        <v/>
      </c>
      <c r="T492" s="58" t="str">
        <f t="shared" si="70"/>
        <v/>
      </c>
      <c r="U492" s="59" t="str">
        <f>IF($T492="","",COUNTIF($T$6:$T492,"?*"))</f>
        <v/>
      </c>
      <c r="V492" s="58" t="str">
        <f t="shared" si="71"/>
        <v/>
      </c>
    </row>
    <row r="493" spans="1:22" ht="12.95" customHeight="1" x14ac:dyDescent="0.25">
      <c r="A493" s="60" t="str">
        <f t="shared" si="63"/>
        <v/>
      </c>
      <c r="B493" s="37"/>
      <c r="C493" s="28"/>
      <c r="D493" s="35"/>
      <c r="E493" s="38"/>
      <c r="F493" s="38"/>
      <c r="G493" s="60" t="str">
        <f t="shared" si="64"/>
        <v/>
      </c>
      <c r="H493" s="61" t="str">
        <f t="shared" si="65"/>
        <v/>
      </c>
      <c r="I493" s="40"/>
      <c r="J493" s="62" t="str">
        <f t="shared" si="66"/>
        <v/>
      </c>
      <c r="K493" s="45" t="str">
        <f t="shared" si="67"/>
        <v/>
      </c>
      <c r="L493" s="55"/>
      <c r="M493" s="63">
        <f t="shared" si="68"/>
        <v>0</v>
      </c>
      <c r="N493" s="63">
        <f t="shared" si="69"/>
        <v>0</v>
      </c>
      <c r="O493" s="57"/>
      <c r="P493" s="40"/>
      <c r="Q493" s="60" t="str">
        <f>IF($D493="","",IF($K493&lt;&gt;"Balance Sheet / Clearing","-",IF(SUMPRODUCT(--(LEFT('7. Settlements'!$J$8:$J$107,7)=$A493),--('7. Settlements'!$M$8:$M$107="Tied out"))+SUMPRODUCT(--(LEFT('8. Transfers'!$H$9:$H$108,7)=$A493),--('8. Transfers'!$J$9:$J$108="Matched"))+SUMPRODUCT(--(LEFT('8. Transfers'!$I$9:$I$108,7)=$A493),--('8. Transfers'!$J$9:$J$108="Matched"))+IF($O493="",0,COUNTIFS('9. Payroll Allocation'!$B$234:$B$253,$O493,'9. Payroll Allocation'!$H$234:$H$253,"Tied out"))&gt;0,"Linked","MISSING DETAIL")))</f>
        <v/>
      </c>
      <c r="T493" s="58" t="str">
        <f t="shared" si="70"/>
        <v/>
      </c>
      <c r="U493" s="59" t="str">
        <f>IF($T493="","",COUNTIF($T$6:$T493,"?*"))</f>
        <v/>
      </c>
      <c r="V493" s="58" t="str">
        <f t="shared" si="71"/>
        <v/>
      </c>
    </row>
    <row r="494" spans="1:22" ht="12.95" customHeight="1" x14ac:dyDescent="0.25">
      <c r="A494" s="52" t="str">
        <f t="shared" si="63"/>
        <v/>
      </c>
      <c r="B494" s="37"/>
      <c r="C494" s="28"/>
      <c r="D494" s="35"/>
      <c r="E494" s="38"/>
      <c r="F494" s="38"/>
      <c r="G494" s="52" t="str">
        <f t="shared" si="64"/>
        <v/>
      </c>
      <c r="H494" s="53" t="str">
        <f t="shared" si="65"/>
        <v/>
      </c>
      <c r="I494" s="40"/>
      <c r="J494" s="54" t="str">
        <f t="shared" si="66"/>
        <v/>
      </c>
      <c r="K494" s="41" t="str">
        <f t="shared" si="67"/>
        <v/>
      </c>
      <c r="L494" s="55"/>
      <c r="M494" s="56">
        <f t="shared" si="68"/>
        <v>0</v>
      </c>
      <c r="N494" s="56">
        <f t="shared" si="69"/>
        <v>0</v>
      </c>
      <c r="O494" s="57"/>
      <c r="P494" s="40"/>
      <c r="Q494" s="52" t="str">
        <f>IF($D494="","",IF($K494&lt;&gt;"Balance Sheet / Clearing","-",IF(SUMPRODUCT(--(LEFT('7. Settlements'!$J$8:$J$107,7)=$A494),--('7. Settlements'!$M$8:$M$107="Tied out"))+SUMPRODUCT(--(LEFT('8. Transfers'!$H$9:$H$108,7)=$A494),--('8. Transfers'!$J$9:$J$108="Matched"))+SUMPRODUCT(--(LEFT('8. Transfers'!$I$9:$I$108,7)=$A494),--('8. Transfers'!$J$9:$J$108="Matched"))+IF($O494="",0,COUNTIFS('9. Payroll Allocation'!$B$234:$B$253,$O494,'9. Payroll Allocation'!$H$234:$H$253,"Tied out"))&gt;0,"Linked","MISSING DETAIL")))</f>
        <v/>
      </c>
      <c r="T494" s="58" t="str">
        <f t="shared" si="70"/>
        <v/>
      </c>
      <c r="U494" s="59" t="str">
        <f>IF($T494="","",COUNTIF($T$6:$T494,"?*"))</f>
        <v/>
      </c>
      <c r="V494" s="58" t="str">
        <f t="shared" si="71"/>
        <v/>
      </c>
    </row>
    <row r="495" spans="1:22" ht="12.95" customHeight="1" x14ac:dyDescent="0.25">
      <c r="A495" s="60" t="str">
        <f t="shared" si="63"/>
        <v/>
      </c>
      <c r="B495" s="37"/>
      <c r="C495" s="28"/>
      <c r="D495" s="35"/>
      <c r="E495" s="38"/>
      <c r="F495" s="38"/>
      <c r="G495" s="60" t="str">
        <f t="shared" si="64"/>
        <v/>
      </c>
      <c r="H495" s="61" t="str">
        <f t="shared" si="65"/>
        <v/>
      </c>
      <c r="I495" s="40"/>
      <c r="J495" s="62" t="str">
        <f t="shared" si="66"/>
        <v/>
      </c>
      <c r="K495" s="45" t="str">
        <f t="shared" si="67"/>
        <v/>
      </c>
      <c r="L495" s="55"/>
      <c r="M495" s="63">
        <f t="shared" si="68"/>
        <v>0</v>
      </c>
      <c r="N495" s="63">
        <f t="shared" si="69"/>
        <v>0</v>
      </c>
      <c r="O495" s="57"/>
      <c r="P495" s="40"/>
      <c r="Q495" s="60" t="str">
        <f>IF($D495="","",IF($K495&lt;&gt;"Balance Sheet / Clearing","-",IF(SUMPRODUCT(--(LEFT('7. Settlements'!$J$8:$J$107,7)=$A495),--('7. Settlements'!$M$8:$M$107="Tied out"))+SUMPRODUCT(--(LEFT('8. Transfers'!$H$9:$H$108,7)=$A495),--('8. Transfers'!$J$9:$J$108="Matched"))+SUMPRODUCT(--(LEFT('8. Transfers'!$I$9:$I$108,7)=$A495),--('8. Transfers'!$J$9:$J$108="Matched"))+IF($O495="",0,COUNTIFS('9. Payroll Allocation'!$B$234:$B$253,$O495,'9. Payroll Allocation'!$H$234:$H$253,"Tied out"))&gt;0,"Linked","MISSING DETAIL")))</f>
        <v/>
      </c>
      <c r="T495" s="58" t="str">
        <f t="shared" si="70"/>
        <v/>
      </c>
      <c r="U495" s="59" t="str">
        <f>IF($T495="","",COUNTIF($T$6:$T495,"?*"))</f>
        <v/>
      </c>
      <c r="V495" s="58" t="str">
        <f t="shared" si="71"/>
        <v/>
      </c>
    </row>
    <row r="496" spans="1:22" ht="12.95" customHeight="1" x14ac:dyDescent="0.25">
      <c r="A496" s="52" t="str">
        <f t="shared" si="63"/>
        <v/>
      </c>
      <c r="B496" s="37"/>
      <c r="C496" s="28"/>
      <c r="D496" s="35"/>
      <c r="E496" s="38"/>
      <c r="F496" s="38"/>
      <c r="G496" s="52" t="str">
        <f t="shared" si="64"/>
        <v/>
      </c>
      <c r="H496" s="53" t="str">
        <f t="shared" si="65"/>
        <v/>
      </c>
      <c r="I496" s="40"/>
      <c r="J496" s="54" t="str">
        <f t="shared" si="66"/>
        <v/>
      </c>
      <c r="K496" s="41" t="str">
        <f t="shared" si="67"/>
        <v/>
      </c>
      <c r="L496" s="55"/>
      <c r="M496" s="56">
        <f t="shared" si="68"/>
        <v>0</v>
      </c>
      <c r="N496" s="56">
        <f t="shared" si="69"/>
        <v>0</v>
      </c>
      <c r="O496" s="57"/>
      <c r="P496" s="40"/>
      <c r="Q496" s="52" t="str">
        <f>IF($D496="","",IF($K496&lt;&gt;"Balance Sheet / Clearing","-",IF(SUMPRODUCT(--(LEFT('7. Settlements'!$J$8:$J$107,7)=$A496),--('7. Settlements'!$M$8:$M$107="Tied out"))+SUMPRODUCT(--(LEFT('8. Transfers'!$H$9:$H$108,7)=$A496),--('8. Transfers'!$J$9:$J$108="Matched"))+SUMPRODUCT(--(LEFT('8. Transfers'!$I$9:$I$108,7)=$A496),--('8. Transfers'!$J$9:$J$108="Matched"))+IF($O496="",0,COUNTIFS('9. Payroll Allocation'!$B$234:$B$253,$O496,'9. Payroll Allocation'!$H$234:$H$253,"Tied out"))&gt;0,"Linked","MISSING DETAIL")))</f>
        <v/>
      </c>
      <c r="T496" s="58" t="str">
        <f t="shared" si="70"/>
        <v/>
      </c>
      <c r="U496" s="59" t="str">
        <f>IF($T496="","",COUNTIF($T$6:$T496,"?*"))</f>
        <v/>
      </c>
      <c r="V496" s="58" t="str">
        <f t="shared" si="71"/>
        <v/>
      </c>
    </row>
    <row r="497" spans="1:22" ht="12.95" customHeight="1" x14ac:dyDescent="0.25">
      <c r="A497" s="60" t="str">
        <f t="shared" si="63"/>
        <v/>
      </c>
      <c r="B497" s="37"/>
      <c r="C497" s="28"/>
      <c r="D497" s="35"/>
      <c r="E497" s="38"/>
      <c r="F497" s="38"/>
      <c r="G497" s="60" t="str">
        <f t="shared" si="64"/>
        <v/>
      </c>
      <c r="H497" s="61" t="str">
        <f t="shared" si="65"/>
        <v/>
      </c>
      <c r="I497" s="40"/>
      <c r="J497" s="62" t="str">
        <f t="shared" si="66"/>
        <v/>
      </c>
      <c r="K497" s="45" t="str">
        <f t="shared" si="67"/>
        <v/>
      </c>
      <c r="L497" s="55"/>
      <c r="M497" s="63">
        <f t="shared" si="68"/>
        <v>0</v>
      </c>
      <c r="N497" s="63">
        <f t="shared" si="69"/>
        <v>0</v>
      </c>
      <c r="O497" s="57"/>
      <c r="P497" s="40"/>
      <c r="Q497" s="60" t="str">
        <f>IF($D497="","",IF($K497&lt;&gt;"Balance Sheet / Clearing","-",IF(SUMPRODUCT(--(LEFT('7. Settlements'!$J$8:$J$107,7)=$A497),--('7. Settlements'!$M$8:$M$107="Tied out"))+SUMPRODUCT(--(LEFT('8. Transfers'!$H$9:$H$108,7)=$A497),--('8. Transfers'!$J$9:$J$108="Matched"))+SUMPRODUCT(--(LEFT('8. Transfers'!$I$9:$I$108,7)=$A497),--('8. Transfers'!$J$9:$J$108="Matched"))+IF($O497="",0,COUNTIFS('9. Payroll Allocation'!$B$234:$B$253,$O497,'9. Payroll Allocation'!$H$234:$H$253,"Tied out"))&gt;0,"Linked","MISSING DETAIL")))</f>
        <v/>
      </c>
      <c r="T497" s="58" t="str">
        <f t="shared" si="70"/>
        <v/>
      </c>
      <c r="U497" s="59" t="str">
        <f>IF($T497="","",COUNTIF($T$6:$T497,"?*"))</f>
        <v/>
      </c>
      <c r="V497" s="58" t="str">
        <f t="shared" si="71"/>
        <v/>
      </c>
    </row>
    <row r="498" spans="1:22" ht="12.95" customHeight="1" x14ac:dyDescent="0.25">
      <c r="A498" s="52" t="str">
        <f t="shared" si="63"/>
        <v/>
      </c>
      <c r="B498" s="37"/>
      <c r="C498" s="28"/>
      <c r="D498" s="35"/>
      <c r="E498" s="38"/>
      <c r="F498" s="38"/>
      <c r="G498" s="52" t="str">
        <f t="shared" si="64"/>
        <v/>
      </c>
      <c r="H498" s="53" t="str">
        <f t="shared" si="65"/>
        <v/>
      </c>
      <c r="I498" s="40"/>
      <c r="J498" s="54" t="str">
        <f t="shared" si="66"/>
        <v/>
      </c>
      <c r="K498" s="41" t="str">
        <f t="shared" si="67"/>
        <v/>
      </c>
      <c r="L498" s="55"/>
      <c r="M498" s="56">
        <f t="shared" si="68"/>
        <v>0</v>
      </c>
      <c r="N498" s="56">
        <f t="shared" si="69"/>
        <v>0</v>
      </c>
      <c r="O498" s="57"/>
      <c r="P498" s="40"/>
      <c r="Q498" s="52" t="str">
        <f>IF($D498="","",IF($K498&lt;&gt;"Balance Sheet / Clearing","-",IF(SUMPRODUCT(--(LEFT('7. Settlements'!$J$8:$J$107,7)=$A498),--('7. Settlements'!$M$8:$M$107="Tied out"))+SUMPRODUCT(--(LEFT('8. Transfers'!$H$9:$H$108,7)=$A498),--('8. Transfers'!$J$9:$J$108="Matched"))+SUMPRODUCT(--(LEFT('8. Transfers'!$I$9:$I$108,7)=$A498),--('8. Transfers'!$J$9:$J$108="Matched"))+IF($O498="",0,COUNTIFS('9. Payroll Allocation'!$B$234:$B$253,$O498,'9. Payroll Allocation'!$H$234:$H$253,"Tied out"))&gt;0,"Linked","MISSING DETAIL")))</f>
        <v/>
      </c>
      <c r="T498" s="58" t="str">
        <f t="shared" si="70"/>
        <v/>
      </c>
      <c r="U498" s="59" t="str">
        <f>IF($T498="","",COUNTIF($T$6:$T498,"?*"))</f>
        <v/>
      </c>
      <c r="V498" s="58" t="str">
        <f t="shared" si="71"/>
        <v/>
      </c>
    </row>
    <row r="499" spans="1:22" ht="12.95" customHeight="1" x14ac:dyDescent="0.25">
      <c r="A499" s="60" t="str">
        <f t="shared" si="63"/>
        <v/>
      </c>
      <c r="B499" s="37"/>
      <c r="C499" s="28"/>
      <c r="D499" s="35"/>
      <c r="E499" s="38"/>
      <c r="F499" s="38"/>
      <c r="G499" s="60" t="str">
        <f t="shared" si="64"/>
        <v/>
      </c>
      <c r="H499" s="61" t="str">
        <f t="shared" si="65"/>
        <v/>
      </c>
      <c r="I499" s="40"/>
      <c r="J499" s="62" t="str">
        <f t="shared" si="66"/>
        <v/>
      </c>
      <c r="K499" s="45" t="str">
        <f t="shared" si="67"/>
        <v/>
      </c>
      <c r="L499" s="55"/>
      <c r="M499" s="63">
        <f t="shared" si="68"/>
        <v>0</v>
      </c>
      <c r="N499" s="63">
        <f t="shared" si="69"/>
        <v>0</v>
      </c>
      <c r="O499" s="57"/>
      <c r="P499" s="40"/>
      <c r="Q499" s="60" t="str">
        <f>IF($D499="","",IF($K499&lt;&gt;"Balance Sheet / Clearing","-",IF(SUMPRODUCT(--(LEFT('7. Settlements'!$J$8:$J$107,7)=$A499),--('7. Settlements'!$M$8:$M$107="Tied out"))+SUMPRODUCT(--(LEFT('8. Transfers'!$H$9:$H$108,7)=$A499),--('8. Transfers'!$J$9:$J$108="Matched"))+SUMPRODUCT(--(LEFT('8. Transfers'!$I$9:$I$108,7)=$A499),--('8. Transfers'!$J$9:$J$108="Matched"))+IF($O499="",0,COUNTIFS('9. Payroll Allocation'!$B$234:$B$253,$O499,'9. Payroll Allocation'!$H$234:$H$253,"Tied out"))&gt;0,"Linked","MISSING DETAIL")))</f>
        <v/>
      </c>
      <c r="T499" s="58" t="str">
        <f t="shared" si="70"/>
        <v/>
      </c>
      <c r="U499" s="59" t="str">
        <f>IF($T499="","",COUNTIF($T$6:$T499,"?*"))</f>
        <v/>
      </c>
      <c r="V499" s="58" t="str">
        <f t="shared" si="71"/>
        <v/>
      </c>
    </row>
    <row r="500" spans="1:22" ht="12.95" customHeight="1" x14ac:dyDescent="0.25">
      <c r="A500" s="52" t="str">
        <f t="shared" si="63"/>
        <v/>
      </c>
      <c r="B500" s="37"/>
      <c r="C500" s="28"/>
      <c r="D500" s="35"/>
      <c r="E500" s="38"/>
      <c r="F500" s="38"/>
      <c r="G500" s="52" t="str">
        <f t="shared" si="64"/>
        <v/>
      </c>
      <c r="H500" s="53" t="str">
        <f t="shared" si="65"/>
        <v/>
      </c>
      <c r="I500" s="40"/>
      <c r="J500" s="54" t="str">
        <f t="shared" si="66"/>
        <v/>
      </c>
      <c r="K500" s="41" t="str">
        <f t="shared" si="67"/>
        <v/>
      </c>
      <c r="L500" s="55"/>
      <c r="M500" s="56">
        <f t="shared" si="68"/>
        <v>0</v>
      </c>
      <c r="N500" s="56">
        <f t="shared" si="69"/>
        <v>0</v>
      </c>
      <c r="O500" s="57"/>
      <c r="P500" s="40"/>
      <c r="Q500" s="52" t="str">
        <f>IF($D500="","",IF($K500&lt;&gt;"Balance Sheet / Clearing","-",IF(SUMPRODUCT(--(LEFT('7. Settlements'!$J$8:$J$107,7)=$A500),--('7. Settlements'!$M$8:$M$107="Tied out"))+SUMPRODUCT(--(LEFT('8. Transfers'!$H$9:$H$108,7)=$A500),--('8. Transfers'!$J$9:$J$108="Matched"))+SUMPRODUCT(--(LEFT('8. Transfers'!$I$9:$I$108,7)=$A500),--('8. Transfers'!$J$9:$J$108="Matched"))+IF($O500="",0,COUNTIFS('9. Payroll Allocation'!$B$234:$B$253,$O500,'9. Payroll Allocation'!$H$234:$H$253,"Tied out"))&gt;0,"Linked","MISSING DETAIL")))</f>
        <v/>
      </c>
      <c r="T500" s="58" t="str">
        <f t="shared" si="70"/>
        <v/>
      </c>
      <c r="U500" s="59" t="str">
        <f>IF($T500="","",COUNTIF($T$6:$T500,"?*"))</f>
        <v/>
      </c>
      <c r="V500" s="58" t="str">
        <f t="shared" si="71"/>
        <v/>
      </c>
    </row>
    <row r="501" spans="1:22" ht="12.95" customHeight="1" x14ac:dyDescent="0.25">
      <c r="A501" s="60" t="str">
        <f t="shared" si="63"/>
        <v/>
      </c>
      <c r="B501" s="37"/>
      <c r="C501" s="28"/>
      <c r="D501" s="35"/>
      <c r="E501" s="38"/>
      <c r="F501" s="38"/>
      <c r="G501" s="60" t="str">
        <f t="shared" si="64"/>
        <v/>
      </c>
      <c r="H501" s="61" t="str">
        <f t="shared" si="65"/>
        <v/>
      </c>
      <c r="I501" s="40"/>
      <c r="J501" s="62" t="str">
        <f t="shared" si="66"/>
        <v/>
      </c>
      <c r="K501" s="45" t="str">
        <f t="shared" si="67"/>
        <v/>
      </c>
      <c r="L501" s="55"/>
      <c r="M501" s="63">
        <f t="shared" si="68"/>
        <v>0</v>
      </c>
      <c r="N501" s="63">
        <f t="shared" si="69"/>
        <v>0</v>
      </c>
      <c r="O501" s="57"/>
      <c r="P501" s="40"/>
      <c r="Q501" s="60" t="str">
        <f>IF($D501="","",IF($K501&lt;&gt;"Balance Sheet / Clearing","-",IF(SUMPRODUCT(--(LEFT('7. Settlements'!$J$8:$J$107,7)=$A501),--('7. Settlements'!$M$8:$M$107="Tied out"))+SUMPRODUCT(--(LEFT('8. Transfers'!$H$9:$H$108,7)=$A501),--('8. Transfers'!$J$9:$J$108="Matched"))+SUMPRODUCT(--(LEFT('8. Transfers'!$I$9:$I$108,7)=$A501),--('8. Transfers'!$J$9:$J$108="Matched"))+IF($O501="",0,COUNTIFS('9. Payroll Allocation'!$B$234:$B$253,$O501,'9. Payroll Allocation'!$H$234:$H$253,"Tied out"))&gt;0,"Linked","MISSING DETAIL")))</f>
        <v/>
      </c>
      <c r="T501" s="58" t="str">
        <f t="shared" si="70"/>
        <v/>
      </c>
      <c r="U501" s="59" t="str">
        <f>IF($T501="","",COUNTIF($T$6:$T501,"?*"))</f>
        <v/>
      </c>
      <c r="V501" s="58" t="str">
        <f t="shared" si="71"/>
        <v/>
      </c>
    </row>
    <row r="502" spans="1:22" ht="12.95" customHeight="1" x14ac:dyDescent="0.25">
      <c r="A502" s="52" t="str">
        <f t="shared" si="63"/>
        <v/>
      </c>
      <c r="B502" s="37"/>
      <c r="C502" s="28"/>
      <c r="D502" s="35"/>
      <c r="E502" s="38"/>
      <c r="F502" s="38"/>
      <c r="G502" s="52" t="str">
        <f t="shared" si="64"/>
        <v/>
      </c>
      <c r="H502" s="53" t="str">
        <f t="shared" si="65"/>
        <v/>
      </c>
      <c r="I502" s="40"/>
      <c r="J502" s="54" t="str">
        <f t="shared" si="66"/>
        <v/>
      </c>
      <c r="K502" s="41" t="str">
        <f t="shared" si="67"/>
        <v/>
      </c>
      <c r="L502" s="55"/>
      <c r="M502" s="56">
        <f t="shared" si="68"/>
        <v>0</v>
      </c>
      <c r="N502" s="56">
        <f t="shared" si="69"/>
        <v>0</v>
      </c>
      <c r="O502" s="57"/>
      <c r="P502" s="40"/>
      <c r="Q502" s="52" t="str">
        <f>IF($D502="","",IF($K502&lt;&gt;"Balance Sheet / Clearing","-",IF(SUMPRODUCT(--(LEFT('7. Settlements'!$J$8:$J$107,7)=$A502),--('7. Settlements'!$M$8:$M$107="Tied out"))+SUMPRODUCT(--(LEFT('8. Transfers'!$H$9:$H$108,7)=$A502),--('8. Transfers'!$J$9:$J$108="Matched"))+SUMPRODUCT(--(LEFT('8. Transfers'!$I$9:$I$108,7)=$A502),--('8. Transfers'!$J$9:$J$108="Matched"))+IF($O502="",0,COUNTIFS('9. Payroll Allocation'!$B$234:$B$253,$O502,'9. Payroll Allocation'!$H$234:$H$253,"Tied out"))&gt;0,"Linked","MISSING DETAIL")))</f>
        <v/>
      </c>
      <c r="T502" s="58" t="str">
        <f t="shared" si="70"/>
        <v/>
      </c>
      <c r="U502" s="59" t="str">
        <f>IF($T502="","",COUNTIF($T$6:$T502,"?*"))</f>
        <v/>
      </c>
      <c r="V502" s="58" t="str">
        <f t="shared" si="71"/>
        <v/>
      </c>
    </row>
    <row r="503" spans="1:22" ht="12.95" customHeight="1" x14ac:dyDescent="0.25">
      <c r="A503" s="60" t="str">
        <f t="shared" si="63"/>
        <v/>
      </c>
      <c r="B503" s="37"/>
      <c r="C503" s="28"/>
      <c r="D503" s="35"/>
      <c r="E503" s="38"/>
      <c r="F503" s="38"/>
      <c r="G503" s="60" t="str">
        <f t="shared" si="64"/>
        <v/>
      </c>
      <c r="H503" s="61" t="str">
        <f t="shared" si="65"/>
        <v/>
      </c>
      <c r="I503" s="40"/>
      <c r="J503" s="62" t="str">
        <f t="shared" si="66"/>
        <v/>
      </c>
      <c r="K503" s="45" t="str">
        <f t="shared" si="67"/>
        <v/>
      </c>
      <c r="L503" s="55"/>
      <c r="M503" s="63">
        <f t="shared" si="68"/>
        <v>0</v>
      </c>
      <c r="N503" s="63">
        <f t="shared" si="69"/>
        <v>0</v>
      </c>
      <c r="O503" s="57"/>
      <c r="P503" s="40"/>
      <c r="Q503" s="60" t="str">
        <f>IF($D503="","",IF($K503&lt;&gt;"Balance Sheet / Clearing","-",IF(SUMPRODUCT(--(LEFT('7. Settlements'!$J$8:$J$107,7)=$A503),--('7. Settlements'!$M$8:$M$107="Tied out"))+SUMPRODUCT(--(LEFT('8. Transfers'!$H$9:$H$108,7)=$A503),--('8. Transfers'!$J$9:$J$108="Matched"))+SUMPRODUCT(--(LEFT('8. Transfers'!$I$9:$I$108,7)=$A503),--('8. Transfers'!$J$9:$J$108="Matched"))+IF($O503="",0,COUNTIFS('9. Payroll Allocation'!$B$234:$B$253,$O503,'9. Payroll Allocation'!$H$234:$H$253,"Tied out"))&gt;0,"Linked","MISSING DETAIL")))</f>
        <v/>
      </c>
      <c r="T503" s="58" t="str">
        <f t="shared" si="70"/>
        <v/>
      </c>
      <c r="U503" s="59" t="str">
        <f>IF($T503="","",COUNTIF($T$6:$T503,"?*"))</f>
        <v/>
      </c>
      <c r="V503" s="58" t="str">
        <f t="shared" si="71"/>
        <v/>
      </c>
    </row>
    <row r="504" spans="1:22" ht="12.95" customHeight="1" x14ac:dyDescent="0.25">
      <c r="A504" s="52" t="str">
        <f t="shared" si="63"/>
        <v/>
      </c>
      <c r="B504" s="37"/>
      <c r="C504" s="28"/>
      <c r="D504" s="35"/>
      <c r="E504" s="38"/>
      <c r="F504" s="38"/>
      <c r="G504" s="52" t="str">
        <f t="shared" si="64"/>
        <v/>
      </c>
      <c r="H504" s="53" t="str">
        <f t="shared" si="65"/>
        <v/>
      </c>
      <c r="I504" s="40"/>
      <c r="J504" s="54" t="str">
        <f t="shared" si="66"/>
        <v/>
      </c>
      <c r="K504" s="41" t="str">
        <f t="shared" si="67"/>
        <v/>
      </c>
      <c r="L504" s="55"/>
      <c r="M504" s="56">
        <f t="shared" si="68"/>
        <v>0</v>
      </c>
      <c r="N504" s="56">
        <f t="shared" si="69"/>
        <v>0</v>
      </c>
      <c r="O504" s="57"/>
      <c r="P504" s="40"/>
      <c r="Q504" s="52" t="str">
        <f>IF($D504="","",IF($K504&lt;&gt;"Balance Sheet / Clearing","-",IF(SUMPRODUCT(--(LEFT('7. Settlements'!$J$8:$J$107,7)=$A504),--('7. Settlements'!$M$8:$M$107="Tied out"))+SUMPRODUCT(--(LEFT('8. Transfers'!$H$9:$H$108,7)=$A504),--('8. Transfers'!$J$9:$J$108="Matched"))+SUMPRODUCT(--(LEFT('8. Transfers'!$I$9:$I$108,7)=$A504),--('8. Transfers'!$J$9:$J$108="Matched"))+IF($O504="",0,COUNTIFS('9. Payroll Allocation'!$B$234:$B$253,$O504,'9. Payroll Allocation'!$H$234:$H$253,"Tied out"))&gt;0,"Linked","MISSING DETAIL")))</f>
        <v/>
      </c>
      <c r="T504" s="58" t="str">
        <f t="shared" si="70"/>
        <v/>
      </c>
      <c r="U504" s="59" t="str">
        <f>IF($T504="","",COUNTIF($T$6:$T504,"?*"))</f>
        <v/>
      </c>
      <c r="V504" s="58" t="str">
        <f t="shared" si="71"/>
        <v/>
      </c>
    </row>
    <row r="505" spans="1:22" ht="12.95" customHeight="1" x14ac:dyDescent="0.25">
      <c r="A505" s="60" t="str">
        <f t="shared" si="63"/>
        <v/>
      </c>
      <c r="B505" s="37"/>
      <c r="C505" s="28"/>
      <c r="D505" s="35"/>
      <c r="E505" s="38"/>
      <c r="F505" s="38"/>
      <c r="G505" s="60" t="str">
        <f t="shared" si="64"/>
        <v/>
      </c>
      <c r="H505" s="61" t="str">
        <f t="shared" si="65"/>
        <v/>
      </c>
      <c r="I505" s="40"/>
      <c r="J505" s="62" t="str">
        <f t="shared" si="66"/>
        <v/>
      </c>
      <c r="K505" s="45" t="str">
        <f t="shared" si="67"/>
        <v/>
      </c>
      <c r="L505" s="55"/>
      <c r="M505" s="63">
        <f t="shared" si="68"/>
        <v>0</v>
      </c>
      <c r="N505" s="63">
        <f t="shared" si="69"/>
        <v>0</v>
      </c>
      <c r="O505" s="57"/>
      <c r="P505" s="40"/>
      <c r="Q505" s="60" t="str">
        <f>IF($D505="","",IF($K505&lt;&gt;"Balance Sheet / Clearing","-",IF(SUMPRODUCT(--(LEFT('7. Settlements'!$J$8:$J$107,7)=$A505),--('7. Settlements'!$M$8:$M$107="Tied out"))+SUMPRODUCT(--(LEFT('8. Transfers'!$H$9:$H$108,7)=$A505),--('8. Transfers'!$J$9:$J$108="Matched"))+SUMPRODUCT(--(LEFT('8. Transfers'!$I$9:$I$108,7)=$A505),--('8. Transfers'!$J$9:$J$108="Matched"))+IF($O505="",0,COUNTIFS('9. Payroll Allocation'!$B$234:$B$253,$O505,'9. Payroll Allocation'!$H$234:$H$253,"Tied out"))&gt;0,"Linked","MISSING DETAIL")))</f>
        <v/>
      </c>
      <c r="T505" s="58" t="str">
        <f t="shared" si="70"/>
        <v/>
      </c>
      <c r="U505" s="59" t="str">
        <f>IF($T505="","",COUNTIF($T$6:$T505,"?*"))</f>
        <v/>
      </c>
      <c r="V505" s="58" t="str">
        <f t="shared" si="71"/>
        <v/>
      </c>
    </row>
    <row r="506" spans="1:22" ht="12.95" customHeight="1" x14ac:dyDescent="0.25">
      <c r="A506" s="52" t="str">
        <f t="shared" si="63"/>
        <v/>
      </c>
      <c r="B506" s="37"/>
      <c r="C506" s="28"/>
      <c r="D506" s="35"/>
      <c r="E506" s="38"/>
      <c r="F506" s="38"/>
      <c r="G506" s="52" t="str">
        <f t="shared" si="64"/>
        <v/>
      </c>
      <c r="H506" s="53" t="str">
        <f t="shared" si="65"/>
        <v/>
      </c>
      <c r="I506" s="40"/>
      <c r="J506" s="54" t="str">
        <f t="shared" si="66"/>
        <v/>
      </c>
      <c r="K506" s="41" t="str">
        <f t="shared" si="67"/>
        <v/>
      </c>
      <c r="L506" s="55"/>
      <c r="M506" s="56">
        <f t="shared" si="68"/>
        <v>0</v>
      </c>
      <c r="N506" s="56">
        <f t="shared" si="69"/>
        <v>0</v>
      </c>
      <c r="O506" s="57"/>
      <c r="P506" s="40"/>
      <c r="Q506" s="52" t="str">
        <f>IF($D506="","",IF($K506&lt;&gt;"Balance Sheet / Clearing","-",IF(SUMPRODUCT(--(LEFT('7. Settlements'!$J$8:$J$107,7)=$A506),--('7. Settlements'!$M$8:$M$107="Tied out"))+SUMPRODUCT(--(LEFT('8. Transfers'!$H$9:$H$108,7)=$A506),--('8. Transfers'!$J$9:$J$108="Matched"))+SUMPRODUCT(--(LEFT('8. Transfers'!$I$9:$I$108,7)=$A506),--('8. Transfers'!$J$9:$J$108="Matched"))+IF($O506="",0,COUNTIFS('9. Payroll Allocation'!$B$234:$B$253,$O506,'9. Payroll Allocation'!$H$234:$H$253,"Tied out"))&gt;0,"Linked","MISSING DETAIL")))</f>
        <v/>
      </c>
      <c r="T506" s="58" t="str">
        <f t="shared" si="70"/>
        <v/>
      </c>
      <c r="U506" s="59" t="str">
        <f>IF($T506="","",COUNTIF($T$6:$T506,"?*"))</f>
        <v/>
      </c>
      <c r="V506" s="58" t="str">
        <f t="shared" si="71"/>
        <v/>
      </c>
    </row>
    <row r="507" spans="1:22" ht="12.95" customHeight="1" x14ac:dyDescent="0.25">
      <c r="A507" s="60" t="str">
        <f t="shared" si="63"/>
        <v/>
      </c>
      <c r="B507" s="37"/>
      <c r="C507" s="28"/>
      <c r="D507" s="35"/>
      <c r="E507" s="38"/>
      <c r="F507" s="38"/>
      <c r="G507" s="60" t="str">
        <f t="shared" si="64"/>
        <v/>
      </c>
      <c r="H507" s="61" t="str">
        <f t="shared" si="65"/>
        <v/>
      </c>
      <c r="I507" s="40"/>
      <c r="J507" s="62" t="str">
        <f t="shared" si="66"/>
        <v/>
      </c>
      <c r="K507" s="45" t="str">
        <f t="shared" si="67"/>
        <v/>
      </c>
      <c r="L507" s="55"/>
      <c r="M507" s="63">
        <f t="shared" si="68"/>
        <v>0</v>
      </c>
      <c r="N507" s="63">
        <f t="shared" si="69"/>
        <v>0</v>
      </c>
      <c r="O507" s="57"/>
      <c r="P507" s="40"/>
      <c r="Q507" s="60" t="str">
        <f>IF($D507="","",IF($K507&lt;&gt;"Balance Sheet / Clearing","-",IF(SUMPRODUCT(--(LEFT('7. Settlements'!$J$8:$J$107,7)=$A507),--('7. Settlements'!$M$8:$M$107="Tied out"))+SUMPRODUCT(--(LEFT('8. Transfers'!$H$9:$H$108,7)=$A507),--('8. Transfers'!$J$9:$J$108="Matched"))+SUMPRODUCT(--(LEFT('8. Transfers'!$I$9:$I$108,7)=$A507),--('8. Transfers'!$J$9:$J$108="Matched"))+IF($O507="",0,COUNTIFS('9. Payroll Allocation'!$B$234:$B$253,$O507,'9. Payroll Allocation'!$H$234:$H$253,"Tied out"))&gt;0,"Linked","MISSING DETAIL")))</f>
        <v/>
      </c>
      <c r="T507" s="58" t="str">
        <f t="shared" si="70"/>
        <v/>
      </c>
      <c r="U507" s="59" t="str">
        <f>IF($T507="","",COUNTIF($T$6:$T507,"?*"))</f>
        <v/>
      </c>
      <c r="V507" s="58" t="str">
        <f t="shared" si="71"/>
        <v/>
      </c>
    </row>
    <row r="508" spans="1:22" ht="12.95" customHeight="1" x14ac:dyDescent="0.25">
      <c r="A508" s="52" t="str">
        <f t="shared" si="63"/>
        <v/>
      </c>
      <c r="B508" s="37"/>
      <c r="C508" s="28"/>
      <c r="D508" s="35"/>
      <c r="E508" s="38"/>
      <c r="F508" s="38"/>
      <c r="G508" s="52" t="str">
        <f t="shared" si="64"/>
        <v/>
      </c>
      <c r="H508" s="53" t="str">
        <f t="shared" si="65"/>
        <v/>
      </c>
      <c r="I508" s="40"/>
      <c r="J508" s="54" t="str">
        <f t="shared" si="66"/>
        <v/>
      </c>
      <c r="K508" s="41" t="str">
        <f t="shared" si="67"/>
        <v/>
      </c>
      <c r="L508" s="55"/>
      <c r="M508" s="56">
        <f t="shared" si="68"/>
        <v>0</v>
      </c>
      <c r="N508" s="56">
        <f t="shared" si="69"/>
        <v>0</v>
      </c>
      <c r="O508" s="57"/>
      <c r="P508" s="40"/>
      <c r="Q508" s="52" t="str">
        <f>IF($D508="","",IF($K508&lt;&gt;"Balance Sheet / Clearing","-",IF(SUMPRODUCT(--(LEFT('7. Settlements'!$J$8:$J$107,7)=$A508),--('7. Settlements'!$M$8:$M$107="Tied out"))+SUMPRODUCT(--(LEFT('8. Transfers'!$H$9:$H$108,7)=$A508),--('8. Transfers'!$J$9:$J$108="Matched"))+SUMPRODUCT(--(LEFT('8. Transfers'!$I$9:$I$108,7)=$A508),--('8. Transfers'!$J$9:$J$108="Matched"))+IF($O508="",0,COUNTIFS('9. Payroll Allocation'!$B$234:$B$253,$O508,'9. Payroll Allocation'!$H$234:$H$253,"Tied out"))&gt;0,"Linked","MISSING DETAIL")))</f>
        <v/>
      </c>
      <c r="T508" s="58" t="str">
        <f t="shared" si="70"/>
        <v/>
      </c>
      <c r="U508" s="59" t="str">
        <f>IF($T508="","",COUNTIF($T$6:$T508,"?*"))</f>
        <v/>
      </c>
      <c r="V508" s="58" t="str">
        <f t="shared" si="71"/>
        <v/>
      </c>
    </row>
    <row r="509" spans="1:22" ht="12.95" customHeight="1" x14ac:dyDescent="0.25">
      <c r="A509" s="60" t="str">
        <f t="shared" si="63"/>
        <v/>
      </c>
      <c r="B509" s="37"/>
      <c r="C509" s="28"/>
      <c r="D509" s="35"/>
      <c r="E509" s="38"/>
      <c r="F509" s="38"/>
      <c r="G509" s="60" t="str">
        <f t="shared" si="64"/>
        <v/>
      </c>
      <c r="H509" s="61" t="str">
        <f t="shared" si="65"/>
        <v/>
      </c>
      <c r="I509" s="40"/>
      <c r="J509" s="62" t="str">
        <f t="shared" si="66"/>
        <v/>
      </c>
      <c r="K509" s="45" t="str">
        <f t="shared" si="67"/>
        <v/>
      </c>
      <c r="L509" s="55"/>
      <c r="M509" s="63">
        <f t="shared" si="68"/>
        <v>0</v>
      </c>
      <c r="N509" s="63">
        <f t="shared" si="69"/>
        <v>0</v>
      </c>
      <c r="O509" s="57"/>
      <c r="P509" s="40"/>
      <c r="Q509" s="60" t="str">
        <f>IF($D509="","",IF($K509&lt;&gt;"Balance Sheet / Clearing","-",IF(SUMPRODUCT(--(LEFT('7. Settlements'!$J$8:$J$107,7)=$A509),--('7. Settlements'!$M$8:$M$107="Tied out"))+SUMPRODUCT(--(LEFT('8. Transfers'!$H$9:$H$108,7)=$A509),--('8. Transfers'!$J$9:$J$108="Matched"))+SUMPRODUCT(--(LEFT('8. Transfers'!$I$9:$I$108,7)=$A509),--('8. Transfers'!$J$9:$J$108="Matched"))+IF($O509="",0,COUNTIFS('9. Payroll Allocation'!$B$234:$B$253,$O509,'9. Payroll Allocation'!$H$234:$H$253,"Tied out"))&gt;0,"Linked","MISSING DETAIL")))</f>
        <v/>
      </c>
      <c r="T509" s="58" t="str">
        <f t="shared" si="70"/>
        <v/>
      </c>
      <c r="U509" s="59" t="str">
        <f>IF($T509="","",COUNTIF($T$6:$T509,"?*"))</f>
        <v/>
      </c>
      <c r="V509" s="58" t="str">
        <f t="shared" si="71"/>
        <v/>
      </c>
    </row>
    <row r="510" spans="1:22" ht="12.95" customHeight="1" x14ac:dyDescent="0.25">
      <c r="A510" s="52" t="str">
        <f t="shared" si="63"/>
        <v/>
      </c>
      <c r="B510" s="37"/>
      <c r="C510" s="28"/>
      <c r="D510" s="35"/>
      <c r="E510" s="38"/>
      <c r="F510" s="38"/>
      <c r="G510" s="52" t="str">
        <f t="shared" si="64"/>
        <v/>
      </c>
      <c r="H510" s="53" t="str">
        <f t="shared" si="65"/>
        <v/>
      </c>
      <c r="I510" s="40"/>
      <c r="J510" s="54" t="str">
        <f t="shared" si="66"/>
        <v/>
      </c>
      <c r="K510" s="41" t="str">
        <f t="shared" si="67"/>
        <v/>
      </c>
      <c r="L510" s="55"/>
      <c r="M510" s="56">
        <f t="shared" si="68"/>
        <v>0</v>
      </c>
      <c r="N510" s="56">
        <f t="shared" si="69"/>
        <v>0</v>
      </c>
      <c r="O510" s="57"/>
      <c r="P510" s="40"/>
      <c r="Q510" s="52" t="str">
        <f>IF($D510="","",IF($K510&lt;&gt;"Balance Sheet / Clearing","-",IF(SUMPRODUCT(--(LEFT('7. Settlements'!$J$8:$J$107,7)=$A510),--('7. Settlements'!$M$8:$M$107="Tied out"))+SUMPRODUCT(--(LEFT('8. Transfers'!$H$9:$H$108,7)=$A510),--('8. Transfers'!$J$9:$J$108="Matched"))+SUMPRODUCT(--(LEFT('8. Transfers'!$I$9:$I$108,7)=$A510),--('8. Transfers'!$J$9:$J$108="Matched"))+IF($O510="",0,COUNTIFS('9. Payroll Allocation'!$B$234:$B$253,$O510,'9. Payroll Allocation'!$H$234:$H$253,"Tied out"))&gt;0,"Linked","MISSING DETAIL")))</f>
        <v/>
      </c>
      <c r="T510" s="58" t="str">
        <f t="shared" si="70"/>
        <v/>
      </c>
      <c r="U510" s="59" t="str">
        <f>IF($T510="","",COUNTIF($T$6:$T510,"?*"))</f>
        <v/>
      </c>
      <c r="V510" s="58" t="str">
        <f t="shared" si="71"/>
        <v/>
      </c>
    </row>
    <row r="511" spans="1:22" ht="12.95" customHeight="1" x14ac:dyDescent="0.25">
      <c r="A511" s="60" t="str">
        <f t="shared" si="63"/>
        <v/>
      </c>
      <c r="B511" s="37"/>
      <c r="C511" s="28"/>
      <c r="D511" s="35"/>
      <c r="E511" s="38"/>
      <c r="F511" s="38"/>
      <c r="G511" s="60" t="str">
        <f t="shared" si="64"/>
        <v/>
      </c>
      <c r="H511" s="61" t="str">
        <f t="shared" si="65"/>
        <v/>
      </c>
      <c r="I511" s="40"/>
      <c r="J511" s="62" t="str">
        <f t="shared" si="66"/>
        <v/>
      </c>
      <c r="K511" s="45" t="str">
        <f t="shared" si="67"/>
        <v/>
      </c>
      <c r="L511" s="55"/>
      <c r="M511" s="63">
        <f t="shared" si="68"/>
        <v>0</v>
      </c>
      <c r="N511" s="63">
        <f t="shared" si="69"/>
        <v>0</v>
      </c>
      <c r="O511" s="57"/>
      <c r="P511" s="40"/>
      <c r="Q511" s="60" t="str">
        <f>IF($D511="","",IF($K511&lt;&gt;"Balance Sheet / Clearing","-",IF(SUMPRODUCT(--(LEFT('7. Settlements'!$J$8:$J$107,7)=$A511),--('7. Settlements'!$M$8:$M$107="Tied out"))+SUMPRODUCT(--(LEFT('8. Transfers'!$H$9:$H$108,7)=$A511),--('8. Transfers'!$J$9:$J$108="Matched"))+SUMPRODUCT(--(LEFT('8. Transfers'!$I$9:$I$108,7)=$A511),--('8. Transfers'!$J$9:$J$108="Matched"))+IF($O511="",0,COUNTIFS('9. Payroll Allocation'!$B$234:$B$253,$O511,'9. Payroll Allocation'!$H$234:$H$253,"Tied out"))&gt;0,"Linked","MISSING DETAIL")))</f>
        <v/>
      </c>
      <c r="T511" s="58" t="str">
        <f t="shared" si="70"/>
        <v/>
      </c>
      <c r="U511" s="59" t="str">
        <f>IF($T511="","",COUNTIF($T$6:$T511,"?*"))</f>
        <v/>
      </c>
      <c r="V511" s="58" t="str">
        <f t="shared" si="71"/>
        <v/>
      </c>
    </row>
    <row r="512" spans="1:22" ht="12.95" customHeight="1" x14ac:dyDescent="0.25">
      <c r="A512" s="52" t="str">
        <f t="shared" si="63"/>
        <v/>
      </c>
      <c r="B512" s="37"/>
      <c r="C512" s="28"/>
      <c r="D512" s="35"/>
      <c r="E512" s="38"/>
      <c r="F512" s="38"/>
      <c r="G512" s="52" t="str">
        <f t="shared" si="64"/>
        <v/>
      </c>
      <c r="H512" s="53" t="str">
        <f t="shared" si="65"/>
        <v/>
      </c>
      <c r="I512" s="40"/>
      <c r="J512" s="54" t="str">
        <f t="shared" si="66"/>
        <v/>
      </c>
      <c r="K512" s="41" t="str">
        <f t="shared" si="67"/>
        <v/>
      </c>
      <c r="L512" s="55"/>
      <c r="M512" s="56">
        <f t="shared" si="68"/>
        <v>0</v>
      </c>
      <c r="N512" s="56">
        <f t="shared" si="69"/>
        <v>0</v>
      </c>
      <c r="O512" s="57"/>
      <c r="P512" s="40"/>
      <c r="Q512" s="52" t="str">
        <f>IF($D512="","",IF($K512&lt;&gt;"Balance Sheet / Clearing","-",IF(SUMPRODUCT(--(LEFT('7. Settlements'!$J$8:$J$107,7)=$A512),--('7. Settlements'!$M$8:$M$107="Tied out"))+SUMPRODUCT(--(LEFT('8. Transfers'!$H$9:$H$108,7)=$A512),--('8. Transfers'!$J$9:$J$108="Matched"))+SUMPRODUCT(--(LEFT('8. Transfers'!$I$9:$I$108,7)=$A512),--('8. Transfers'!$J$9:$J$108="Matched"))+IF($O512="",0,COUNTIFS('9. Payroll Allocation'!$B$234:$B$253,$O512,'9. Payroll Allocation'!$H$234:$H$253,"Tied out"))&gt;0,"Linked","MISSING DETAIL")))</f>
        <v/>
      </c>
      <c r="T512" s="58" t="str">
        <f t="shared" si="70"/>
        <v/>
      </c>
      <c r="U512" s="59" t="str">
        <f>IF($T512="","",COUNTIF($T$6:$T512,"?*"))</f>
        <v/>
      </c>
      <c r="V512" s="58" t="str">
        <f t="shared" si="71"/>
        <v/>
      </c>
    </row>
    <row r="513" spans="1:22" ht="12.95" customHeight="1" x14ac:dyDescent="0.25">
      <c r="A513" s="60" t="str">
        <f t="shared" si="63"/>
        <v/>
      </c>
      <c r="B513" s="37"/>
      <c r="C513" s="28"/>
      <c r="D513" s="35"/>
      <c r="E513" s="38"/>
      <c r="F513" s="38"/>
      <c r="G513" s="60" t="str">
        <f t="shared" si="64"/>
        <v/>
      </c>
      <c r="H513" s="61" t="str">
        <f t="shared" si="65"/>
        <v/>
      </c>
      <c r="I513" s="40"/>
      <c r="J513" s="62" t="str">
        <f t="shared" si="66"/>
        <v/>
      </c>
      <c r="K513" s="45" t="str">
        <f t="shared" si="67"/>
        <v/>
      </c>
      <c r="L513" s="55"/>
      <c r="M513" s="63">
        <f t="shared" si="68"/>
        <v>0</v>
      </c>
      <c r="N513" s="63">
        <f t="shared" si="69"/>
        <v>0</v>
      </c>
      <c r="O513" s="57"/>
      <c r="P513" s="40"/>
      <c r="Q513" s="60" t="str">
        <f>IF($D513="","",IF($K513&lt;&gt;"Balance Sheet / Clearing","-",IF(SUMPRODUCT(--(LEFT('7. Settlements'!$J$8:$J$107,7)=$A513),--('7. Settlements'!$M$8:$M$107="Tied out"))+SUMPRODUCT(--(LEFT('8. Transfers'!$H$9:$H$108,7)=$A513),--('8. Transfers'!$J$9:$J$108="Matched"))+SUMPRODUCT(--(LEFT('8. Transfers'!$I$9:$I$108,7)=$A513),--('8. Transfers'!$J$9:$J$108="Matched"))+IF($O513="",0,COUNTIFS('9. Payroll Allocation'!$B$234:$B$253,$O513,'9. Payroll Allocation'!$H$234:$H$253,"Tied out"))&gt;0,"Linked","MISSING DETAIL")))</f>
        <v/>
      </c>
      <c r="T513" s="58" t="str">
        <f t="shared" si="70"/>
        <v/>
      </c>
      <c r="U513" s="59" t="str">
        <f>IF($T513="","",COUNTIF($T$6:$T513,"?*"))</f>
        <v/>
      </c>
      <c r="V513" s="58" t="str">
        <f t="shared" si="71"/>
        <v/>
      </c>
    </row>
    <row r="514" spans="1:22" ht="12.95" customHeight="1" x14ac:dyDescent="0.25">
      <c r="A514" s="52" t="str">
        <f t="shared" si="63"/>
        <v/>
      </c>
      <c r="B514" s="37"/>
      <c r="C514" s="28"/>
      <c r="D514" s="35"/>
      <c r="E514" s="38"/>
      <c r="F514" s="38"/>
      <c r="G514" s="52" t="str">
        <f t="shared" si="64"/>
        <v/>
      </c>
      <c r="H514" s="53" t="str">
        <f t="shared" si="65"/>
        <v/>
      </c>
      <c r="I514" s="40"/>
      <c r="J514" s="54" t="str">
        <f t="shared" si="66"/>
        <v/>
      </c>
      <c r="K514" s="41" t="str">
        <f t="shared" si="67"/>
        <v/>
      </c>
      <c r="L514" s="55"/>
      <c r="M514" s="56">
        <f t="shared" si="68"/>
        <v>0</v>
      </c>
      <c r="N514" s="56">
        <f t="shared" si="69"/>
        <v>0</v>
      </c>
      <c r="O514" s="57"/>
      <c r="P514" s="40"/>
      <c r="Q514" s="52" t="str">
        <f>IF($D514="","",IF($K514&lt;&gt;"Balance Sheet / Clearing","-",IF(SUMPRODUCT(--(LEFT('7. Settlements'!$J$8:$J$107,7)=$A514),--('7. Settlements'!$M$8:$M$107="Tied out"))+SUMPRODUCT(--(LEFT('8. Transfers'!$H$9:$H$108,7)=$A514),--('8. Transfers'!$J$9:$J$108="Matched"))+SUMPRODUCT(--(LEFT('8. Transfers'!$I$9:$I$108,7)=$A514),--('8. Transfers'!$J$9:$J$108="Matched"))+IF($O514="",0,COUNTIFS('9. Payroll Allocation'!$B$234:$B$253,$O514,'9. Payroll Allocation'!$H$234:$H$253,"Tied out"))&gt;0,"Linked","MISSING DETAIL")))</f>
        <v/>
      </c>
      <c r="T514" s="58" t="str">
        <f t="shared" si="70"/>
        <v/>
      </c>
      <c r="U514" s="59" t="str">
        <f>IF($T514="","",COUNTIF($T$6:$T514,"?*"))</f>
        <v/>
      </c>
      <c r="V514" s="58" t="str">
        <f t="shared" si="71"/>
        <v/>
      </c>
    </row>
    <row r="515" spans="1:22" ht="12.95" customHeight="1" x14ac:dyDescent="0.25">
      <c r="A515" s="60" t="str">
        <f t="shared" si="63"/>
        <v/>
      </c>
      <c r="B515" s="37"/>
      <c r="C515" s="28"/>
      <c r="D515" s="35"/>
      <c r="E515" s="38"/>
      <c r="F515" s="38"/>
      <c r="G515" s="60" t="str">
        <f t="shared" si="64"/>
        <v/>
      </c>
      <c r="H515" s="61" t="str">
        <f t="shared" si="65"/>
        <v/>
      </c>
      <c r="I515" s="40"/>
      <c r="J515" s="62" t="str">
        <f t="shared" si="66"/>
        <v/>
      </c>
      <c r="K515" s="45" t="str">
        <f t="shared" si="67"/>
        <v/>
      </c>
      <c r="L515" s="55"/>
      <c r="M515" s="63">
        <f t="shared" si="68"/>
        <v>0</v>
      </c>
      <c r="N515" s="63">
        <f t="shared" si="69"/>
        <v>0</v>
      </c>
      <c r="O515" s="57"/>
      <c r="P515" s="40"/>
      <c r="Q515" s="60" t="str">
        <f>IF($D515="","",IF($K515&lt;&gt;"Balance Sheet / Clearing","-",IF(SUMPRODUCT(--(LEFT('7. Settlements'!$J$8:$J$107,7)=$A515),--('7. Settlements'!$M$8:$M$107="Tied out"))+SUMPRODUCT(--(LEFT('8. Transfers'!$H$9:$H$108,7)=$A515),--('8. Transfers'!$J$9:$J$108="Matched"))+SUMPRODUCT(--(LEFT('8. Transfers'!$I$9:$I$108,7)=$A515),--('8. Transfers'!$J$9:$J$108="Matched"))+IF($O515="",0,COUNTIFS('9. Payroll Allocation'!$B$234:$B$253,$O515,'9. Payroll Allocation'!$H$234:$H$253,"Tied out"))&gt;0,"Linked","MISSING DETAIL")))</f>
        <v/>
      </c>
      <c r="T515" s="58" t="str">
        <f t="shared" si="70"/>
        <v/>
      </c>
      <c r="U515" s="59" t="str">
        <f>IF($T515="","",COUNTIF($T$6:$T515,"?*"))</f>
        <v/>
      </c>
      <c r="V515" s="58" t="str">
        <f t="shared" si="71"/>
        <v/>
      </c>
    </row>
    <row r="516" spans="1:22" ht="12.95" customHeight="1" x14ac:dyDescent="0.25">
      <c r="A516" s="52" t="str">
        <f t="shared" si="63"/>
        <v/>
      </c>
      <c r="B516" s="37"/>
      <c r="C516" s="28"/>
      <c r="D516" s="35"/>
      <c r="E516" s="38"/>
      <c r="F516" s="38"/>
      <c r="G516" s="52" t="str">
        <f t="shared" si="64"/>
        <v/>
      </c>
      <c r="H516" s="53" t="str">
        <f t="shared" si="65"/>
        <v/>
      </c>
      <c r="I516" s="40"/>
      <c r="J516" s="54" t="str">
        <f t="shared" si="66"/>
        <v/>
      </c>
      <c r="K516" s="41" t="str">
        <f t="shared" si="67"/>
        <v/>
      </c>
      <c r="L516" s="55"/>
      <c r="M516" s="56">
        <f t="shared" si="68"/>
        <v>0</v>
      </c>
      <c r="N516" s="56">
        <f t="shared" si="69"/>
        <v>0</v>
      </c>
      <c r="O516" s="57"/>
      <c r="P516" s="40"/>
      <c r="Q516" s="52" t="str">
        <f>IF($D516="","",IF($K516&lt;&gt;"Balance Sheet / Clearing","-",IF(SUMPRODUCT(--(LEFT('7. Settlements'!$J$8:$J$107,7)=$A516),--('7. Settlements'!$M$8:$M$107="Tied out"))+SUMPRODUCT(--(LEFT('8. Transfers'!$H$9:$H$108,7)=$A516),--('8. Transfers'!$J$9:$J$108="Matched"))+SUMPRODUCT(--(LEFT('8. Transfers'!$I$9:$I$108,7)=$A516),--('8. Transfers'!$J$9:$J$108="Matched"))+IF($O516="",0,COUNTIFS('9. Payroll Allocation'!$B$234:$B$253,$O516,'9. Payroll Allocation'!$H$234:$H$253,"Tied out"))&gt;0,"Linked","MISSING DETAIL")))</f>
        <v/>
      </c>
      <c r="T516" s="58" t="str">
        <f t="shared" si="70"/>
        <v/>
      </c>
      <c r="U516" s="59" t="str">
        <f>IF($T516="","",COUNTIF($T$6:$T516,"?*"))</f>
        <v/>
      </c>
      <c r="V516" s="58" t="str">
        <f t="shared" si="71"/>
        <v/>
      </c>
    </row>
    <row r="517" spans="1:22" ht="12.95" customHeight="1" x14ac:dyDescent="0.25">
      <c r="A517" s="60" t="str">
        <f t="shared" si="63"/>
        <v/>
      </c>
      <c r="B517" s="37"/>
      <c r="C517" s="28"/>
      <c r="D517" s="35"/>
      <c r="E517" s="38"/>
      <c r="F517" s="38"/>
      <c r="G517" s="60" t="str">
        <f t="shared" si="64"/>
        <v/>
      </c>
      <c r="H517" s="61" t="str">
        <f t="shared" si="65"/>
        <v/>
      </c>
      <c r="I517" s="40"/>
      <c r="J517" s="62" t="str">
        <f t="shared" si="66"/>
        <v/>
      </c>
      <c r="K517" s="45" t="str">
        <f t="shared" si="67"/>
        <v/>
      </c>
      <c r="L517" s="55"/>
      <c r="M517" s="63">
        <f t="shared" si="68"/>
        <v>0</v>
      </c>
      <c r="N517" s="63">
        <f t="shared" si="69"/>
        <v>0</v>
      </c>
      <c r="O517" s="57"/>
      <c r="P517" s="40"/>
      <c r="Q517" s="60" t="str">
        <f>IF($D517="","",IF($K517&lt;&gt;"Balance Sheet / Clearing","-",IF(SUMPRODUCT(--(LEFT('7. Settlements'!$J$8:$J$107,7)=$A517),--('7. Settlements'!$M$8:$M$107="Tied out"))+SUMPRODUCT(--(LEFT('8. Transfers'!$H$9:$H$108,7)=$A517),--('8. Transfers'!$J$9:$J$108="Matched"))+SUMPRODUCT(--(LEFT('8. Transfers'!$I$9:$I$108,7)=$A517),--('8. Transfers'!$J$9:$J$108="Matched"))+IF($O517="",0,COUNTIFS('9. Payroll Allocation'!$B$234:$B$253,$O517,'9. Payroll Allocation'!$H$234:$H$253,"Tied out"))&gt;0,"Linked","MISSING DETAIL")))</f>
        <v/>
      </c>
      <c r="T517" s="58" t="str">
        <f t="shared" si="70"/>
        <v/>
      </c>
      <c r="U517" s="59" t="str">
        <f>IF($T517="","",COUNTIF($T$6:$T517,"?*"))</f>
        <v/>
      </c>
      <c r="V517" s="58" t="str">
        <f t="shared" si="71"/>
        <v/>
      </c>
    </row>
    <row r="518" spans="1:22" ht="12.95" customHeight="1" x14ac:dyDescent="0.25">
      <c r="A518" s="52" t="str">
        <f t="shared" ref="A518:A581" si="72">IF($D518="","","TX-"&amp;TEXT(ROW()-5,"0000"))</f>
        <v/>
      </c>
      <c r="B518" s="37"/>
      <c r="C518" s="28"/>
      <c r="D518" s="35"/>
      <c r="E518" s="38"/>
      <c r="F518" s="38"/>
      <c r="G518" s="52" t="str">
        <f t="shared" ref="G518:G581" si="73">IF($D518="","",IFERROR(_xlfn.AGGREGATE(15,6,Rules_Pri/((ISNUMBER(SEARCH(Rules_Key,$D518)))*(Rules_Key&lt;&gt;"")*(Rules_Active="Yes")*((Rules_Dir="Any")+(Rules_Dir=IF(N($E518)&gt;0,"In","Out")))),1),""))</f>
        <v/>
      </c>
      <c r="H518" s="53" t="str">
        <f t="shared" ref="H518:H581" si="74">IF($D518="","",IF($G518="",IF(N($E518)&gt;0,"Uncategorized Deposit - NEEDS REVIEW","Uncategorized - NEEDS REVIEW"),INDEX(Rules_Cat,MATCH(1,INDEX(((ISNUMBER(SEARCH(Rules_Key,$D518)))*(Rules_Key&lt;&gt;"")*(Rules_Active="Yes")*((Rules_Dir="Any")+(Rules_Dir=IF(N($E518)&gt;0,"In","Out"))))*(Rules_Pri=$G518),0),0))))</f>
        <v/>
      </c>
      <c r="I518" s="40"/>
      <c r="J518" s="54" t="str">
        <f t="shared" ref="J518:J581" si="75">IF($D518="","",IF($I518&lt;&gt;"",$I518,$H518))</f>
        <v/>
      </c>
      <c r="K518" s="41" t="str">
        <f t="shared" ref="K518:K581" si="76">IF($J518="","",IFERROR(INDEX(Cat_Treatment,MATCH($J518,Cat_Name,0)),"Review Required"))</f>
        <v/>
      </c>
      <c r="L518" s="55"/>
      <c r="M518" s="56">
        <f t="shared" ref="M518:M581" si="77">IF($K518&lt;&gt;"Operating Expense",0,IF(AND($L518&lt;&gt;"",OR(N($L518)&lt;0,N($L518)&gt;1)),0,ROUND(N($F518)*IF($L518="",1,$L518),2)))</f>
        <v>0</v>
      </c>
      <c r="N518" s="56">
        <f t="shared" ref="N518:N581" si="78">IF($K518="Operating Revenue",ROUND(N($E518)-N($F518),2),0)</f>
        <v>0</v>
      </c>
      <c r="O518" s="57"/>
      <c r="P518" s="40"/>
      <c r="Q518" s="52" t="str">
        <f>IF($D518="","",IF($K518&lt;&gt;"Balance Sheet / Clearing","-",IF(SUMPRODUCT(--(LEFT('7. Settlements'!$J$8:$J$107,7)=$A518),--('7. Settlements'!$M$8:$M$107="Tied out"))+SUMPRODUCT(--(LEFT('8. Transfers'!$H$9:$H$108,7)=$A518),--('8. Transfers'!$J$9:$J$108="Matched"))+SUMPRODUCT(--(LEFT('8. Transfers'!$I$9:$I$108,7)=$A518),--('8. Transfers'!$J$9:$J$108="Matched"))+IF($O518="",0,COUNTIFS('9. Payroll Allocation'!$B$234:$B$253,$O518,'9. Payroll Allocation'!$H$234:$H$253,"Tied out"))&gt;0,"Linked","MISSING DETAIL")))</f>
        <v/>
      </c>
      <c r="T518" s="58" t="str">
        <f t="shared" ref="T518:T581" si="79">IF(OR($D518="",$K518&lt;&gt;"Balance Sheet / Clearing"),"",$A518&amp;" · "&amp;TEXT($B518,"mm/dd")&amp;" · "&amp;LEFT($D518,24)&amp;" · "&amp;TEXT(N($E518)+N($F518),"#,##0.00"))</f>
        <v/>
      </c>
      <c r="U518" s="59" t="str">
        <f>IF($T518="","",COUNTIF($T$6:$T518,"?*"))</f>
        <v/>
      </c>
      <c r="V518" s="58" t="str">
        <f t="shared" ref="V518:V581" si="80">IFERROR(INDEX($T$6:$T$1005,MATCH(ROW()-5,$U$6:$U$1005,0)),"")</f>
        <v/>
      </c>
    </row>
    <row r="519" spans="1:22" ht="12.95" customHeight="1" x14ac:dyDescent="0.25">
      <c r="A519" s="60" t="str">
        <f t="shared" si="72"/>
        <v/>
      </c>
      <c r="B519" s="37"/>
      <c r="C519" s="28"/>
      <c r="D519" s="35"/>
      <c r="E519" s="38"/>
      <c r="F519" s="38"/>
      <c r="G519" s="60" t="str">
        <f t="shared" si="73"/>
        <v/>
      </c>
      <c r="H519" s="61" t="str">
        <f t="shared" si="74"/>
        <v/>
      </c>
      <c r="I519" s="40"/>
      <c r="J519" s="62" t="str">
        <f t="shared" si="75"/>
        <v/>
      </c>
      <c r="K519" s="45" t="str">
        <f t="shared" si="76"/>
        <v/>
      </c>
      <c r="L519" s="55"/>
      <c r="M519" s="63">
        <f t="shared" si="77"/>
        <v>0</v>
      </c>
      <c r="N519" s="63">
        <f t="shared" si="78"/>
        <v>0</v>
      </c>
      <c r="O519" s="57"/>
      <c r="P519" s="40"/>
      <c r="Q519" s="60" t="str">
        <f>IF($D519="","",IF($K519&lt;&gt;"Balance Sheet / Clearing","-",IF(SUMPRODUCT(--(LEFT('7. Settlements'!$J$8:$J$107,7)=$A519),--('7. Settlements'!$M$8:$M$107="Tied out"))+SUMPRODUCT(--(LEFT('8. Transfers'!$H$9:$H$108,7)=$A519),--('8. Transfers'!$J$9:$J$108="Matched"))+SUMPRODUCT(--(LEFT('8. Transfers'!$I$9:$I$108,7)=$A519),--('8. Transfers'!$J$9:$J$108="Matched"))+IF($O519="",0,COUNTIFS('9. Payroll Allocation'!$B$234:$B$253,$O519,'9. Payroll Allocation'!$H$234:$H$253,"Tied out"))&gt;0,"Linked","MISSING DETAIL")))</f>
        <v/>
      </c>
      <c r="T519" s="58" t="str">
        <f t="shared" si="79"/>
        <v/>
      </c>
      <c r="U519" s="59" t="str">
        <f>IF($T519="","",COUNTIF($T$6:$T519,"?*"))</f>
        <v/>
      </c>
      <c r="V519" s="58" t="str">
        <f t="shared" si="80"/>
        <v/>
      </c>
    </row>
    <row r="520" spans="1:22" ht="12.95" customHeight="1" x14ac:dyDescent="0.25">
      <c r="A520" s="52" t="str">
        <f t="shared" si="72"/>
        <v/>
      </c>
      <c r="B520" s="37"/>
      <c r="C520" s="28"/>
      <c r="D520" s="35"/>
      <c r="E520" s="38"/>
      <c r="F520" s="38"/>
      <c r="G520" s="52" t="str">
        <f t="shared" si="73"/>
        <v/>
      </c>
      <c r="H520" s="53" t="str">
        <f t="shared" si="74"/>
        <v/>
      </c>
      <c r="I520" s="40"/>
      <c r="J520" s="54" t="str">
        <f t="shared" si="75"/>
        <v/>
      </c>
      <c r="K520" s="41" t="str">
        <f t="shared" si="76"/>
        <v/>
      </c>
      <c r="L520" s="55"/>
      <c r="M520" s="56">
        <f t="shared" si="77"/>
        <v>0</v>
      </c>
      <c r="N520" s="56">
        <f t="shared" si="78"/>
        <v>0</v>
      </c>
      <c r="O520" s="57"/>
      <c r="P520" s="40"/>
      <c r="Q520" s="52" t="str">
        <f>IF($D520="","",IF($K520&lt;&gt;"Balance Sheet / Clearing","-",IF(SUMPRODUCT(--(LEFT('7. Settlements'!$J$8:$J$107,7)=$A520),--('7. Settlements'!$M$8:$M$107="Tied out"))+SUMPRODUCT(--(LEFT('8. Transfers'!$H$9:$H$108,7)=$A520),--('8. Transfers'!$J$9:$J$108="Matched"))+SUMPRODUCT(--(LEFT('8. Transfers'!$I$9:$I$108,7)=$A520),--('8. Transfers'!$J$9:$J$108="Matched"))+IF($O520="",0,COUNTIFS('9. Payroll Allocation'!$B$234:$B$253,$O520,'9. Payroll Allocation'!$H$234:$H$253,"Tied out"))&gt;0,"Linked","MISSING DETAIL")))</f>
        <v/>
      </c>
      <c r="T520" s="58" t="str">
        <f t="shared" si="79"/>
        <v/>
      </c>
      <c r="U520" s="59" t="str">
        <f>IF($T520="","",COUNTIF($T$6:$T520,"?*"))</f>
        <v/>
      </c>
      <c r="V520" s="58" t="str">
        <f t="shared" si="80"/>
        <v/>
      </c>
    </row>
    <row r="521" spans="1:22" ht="12.95" customHeight="1" x14ac:dyDescent="0.25">
      <c r="A521" s="60" t="str">
        <f t="shared" si="72"/>
        <v/>
      </c>
      <c r="B521" s="37"/>
      <c r="C521" s="28"/>
      <c r="D521" s="35"/>
      <c r="E521" s="38"/>
      <c r="F521" s="38"/>
      <c r="G521" s="60" t="str">
        <f t="shared" si="73"/>
        <v/>
      </c>
      <c r="H521" s="61" t="str">
        <f t="shared" si="74"/>
        <v/>
      </c>
      <c r="I521" s="40"/>
      <c r="J521" s="62" t="str">
        <f t="shared" si="75"/>
        <v/>
      </c>
      <c r="K521" s="45" t="str">
        <f t="shared" si="76"/>
        <v/>
      </c>
      <c r="L521" s="55"/>
      <c r="M521" s="63">
        <f t="shared" si="77"/>
        <v>0</v>
      </c>
      <c r="N521" s="63">
        <f t="shared" si="78"/>
        <v>0</v>
      </c>
      <c r="O521" s="57"/>
      <c r="P521" s="40"/>
      <c r="Q521" s="60" t="str">
        <f>IF($D521="","",IF($K521&lt;&gt;"Balance Sheet / Clearing","-",IF(SUMPRODUCT(--(LEFT('7. Settlements'!$J$8:$J$107,7)=$A521),--('7. Settlements'!$M$8:$M$107="Tied out"))+SUMPRODUCT(--(LEFT('8. Transfers'!$H$9:$H$108,7)=$A521),--('8. Transfers'!$J$9:$J$108="Matched"))+SUMPRODUCT(--(LEFT('8. Transfers'!$I$9:$I$108,7)=$A521),--('8. Transfers'!$J$9:$J$108="Matched"))+IF($O521="",0,COUNTIFS('9. Payroll Allocation'!$B$234:$B$253,$O521,'9. Payroll Allocation'!$H$234:$H$253,"Tied out"))&gt;0,"Linked","MISSING DETAIL")))</f>
        <v/>
      </c>
      <c r="T521" s="58" t="str">
        <f t="shared" si="79"/>
        <v/>
      </c>
      <c r="U521" s="59" t="str">
        <f>IF($T521="","",COUNTIF($T$6:$T521,"?*"))</f>
        <v/>
      </c>
      <c r="V521" s="58" t="str">
        <f t="shared" si="80"/>
        <v/>
      </c>
    </row>
    <row r="522" spans="1:22" ht="12.95" customHeight="1" x14ac:dyDescent="0.25">
      <c r="A522" s="52" t="str">
        <f t="shared" si="72"/>
        <v/>
      </c>
      <c r="B522" s="37"/>
      <c r="C522" s="28"/>
      <c r="D522" s="35"/>
      <c r="E522" s="38"/>
      <c r="F522" s="38"/>
      <c r="G522" s="52" t="str">
        <f t="shared" si="73"/>
        <v/>
      </c>
      <c r="H522" s="53" t="str">
        <f t="shared" si="74"/>
        <v/>
      </c>
      <c r="I522" s="40"/>
      <c r="J522" s="54" t="str">
        <f t="shared" si="75"/>
        <v/>
      </c>
      <c r="K522" s="41" t="str">
        <f t="shared" si="76"/>
        <v/>
      </c>
      <c r="L522" s="55"/>
      <c r="M522" s="56">
        <f t="shared" si="77"/>
        <v>0</v>
      </c>
      <c r="N522" s="56">
        <f t="shared" si="78"/>
        <v>0</v>
      </c>
      <c r="O522" s="57"/>
      <c r="P522" s="40"/>
      <c r="Q522" s="52" t="str">
        <f>IF($D522="","",IF($K522&lt;&gt;"Balance Sheet / Clearing","-",IF(SUMPRODUCT(--(LEFT('7. Settlements'!$J$8:$J$107,7)=$A522),--('7. Settlements'!$M$8:$M$107="Tied out"))+SUMPRODUCT(--(LEFT('8. Transfers'!$H$9:$H$108,7)=$A522),--('8. Transfers'!$J$9:$J$108="Matched"))+SUMPRODUCT(--(LEFT('8. Transfers'!$I$9:$I$108,7)=$A522),--('8. Transfers'!$J$9:$J$108="Matched"))+IF($O522="",0,COUNTIFS('9. Payroll Allocation'!$B$234:$B$253,$O522,'9. Payroll Allocation'!$H$234:$H$253,"Tied out"))&gt;0,"Linked","MISSING DETAIL")))</f>
        <v/>
      </c>
      <c r="T522" s="58" t="str">
        <f t="shared" si="79"/>
        <v/>
      </c>
      <c r="U522" s="59" t="str">
        <f>IF($T522="","",COUNTIF($T$6:$T522,"?*"))</f>
        <v/>
      </c>
      <c r="V522" s="58" t="str">
        <f t="shared" si="80"/>
        <v/>
      </c>
    </row>
    <row r="523" spans="1:22" ht="12.95" customHeight="1" x14ac:dyDescent="0.25">
      <c r="A523" s="60" t="str">
        <f t="shared" si="72"/>
        <v/>
      </c>
      <c r="B523" s="37"/>
      <c r="C523" s="28"/>
      <c r="D523" s="35"/>
      <c r="E523" s="38"/>
      <c r="F523" s="38"/>
      <c r="G523" s="60" t="str">
        <f t="shared" si="73"/>
        <v/>
      </c>
      <c r="H523" s="61" t="str">
        <f t="shared" si="74"/>
        <v/>
      </c>
      <c r="I523" s="40"/>
      <c r="J523" s="62" t="str">
        <f t="shared" si="75"/>
        <v/>
      </c>
      <c r="K523" s="45" t="str">
        <f t="shared" si="76"/>
        <v/>
      </c>
      <c r="L523" s="55"/>
      <c r="M523" s="63">
        <f t="shared" si="77"/>
        <v>0</v>
      </c>
      <c r="N523" s="63">
        <f t="shared" si="78"/>
        <v>0</v>
      </c>
      <c r="O523" s="57"/>
      <c r="P523" s="40"/>
      <c r="Q523" s="60" t="str">
        <f>IF($D523="","",IF($K523&lt;&gt;"Balance Sheet / Clearing","-",IF(SUMPRODUCT(--(LEFT('7. Settlements'!$J$8:$J$107,7)=$A523),--('7. Settlements'!$M$8:$M$107="Tied out"))+SUMPRODUCT(--(LEFT('8. Transfers'!$H$9:$H$108,7)=$A523),--('8. Transfers'!$J$9:$J$108="Matched"))+SUMPRODUCT(--(LEFT('8. Transfers'!$I$9:$I$108,7)=$A523),--('8. Transfers'!$J$9:$J$108="Matched"))+IF($O523="",0,COUNTIFS('9. Payroll Allocation'!$B$234:$B$253,$O523,'9. Payroll Allocation'!$H$234:$H$253,"Tied out"))&gt;0,"Linked","MISSING DETAIL")))</f>
        <v/>
      </c>
      <c r="T523" s="58" t="str">
        <f t="shared" si="79"/>
        <v/>
      </c>
      <c r="U523" s="59" t="str">
        <f>IF($T523="","",COUNTIF($T$6:$T523,"?*"))</f>
        <v/>
      </c>
      <c r="V523" s="58" t="str">
        <f t="shared" si="80"/>
        <v/>
      </c>
    </row>
    <row r="524" spans="1:22" ht="12.95" customHeight="1" x14ac:dyDescent="0.25">
      <c r="A524" s="52" t="str">
        <f t="shared" si="72"/>
        <v/>
      </c>
      <c r="B524" s="37"/>
      <c r="C524" s="28"/>
      <c r="D524" s="35"/>
      <c r="E524" s="38"/>
      <c r="F524" s="38"/>
      <c r="G524" s="52" t="str">
        <f t="shared" si="73"/>
        <v/>
      </c>
      <c r="H524" s="53" t="str">
        <f t="shared" si="74"/>
        <v/>
      </c>
      <c r="I524" s="40"/>
      <c r="J524" s="54" t="str">
        <f t="shared" si="75"/>
        <v/>
      </c>
      <c r="K524" s="41" t="str">
        <f t="shared" si="76"/>
        <v/>
      </c>
      <c r="L524" s="55"/>
      <c r="M524" s="56">
        <f t="shared" si="77"/>
        <v>0</v>
      </c>
      <c r="N524" s="56">
        <f t="shared" si="78"/>
        <v>0</v>
      </c>
      <c r="O524" s="57"/>
      <c r="P524" s="40"/>
      <c r="Q524" s="52" t="str">
        <f>IF($D524="","",IF($K524&lt;&gt;"Balance Sheet / Clearing","-",IF(SUMPRODUCT(--(LEFT('7. Settlements'!$J$8:$J$107,7)=$A524),--('7. Settlements'!$M$8:$M$107="Tied out"))+SUMPRODUCT(--(LEFT('8. Transfers'!$H$9:$H$108,7)=$A524),--('8. Transfers'!$J$9:$J$108="Matched"))+SUMPRODUCT(--(LEFT('8. Transfers'!$I$9:$I$108,7)=$A524),--('8. Transfers'!$J$9:$J$108="Matched"))+IF($O524="",0,COUNTIFS('9. Payroll Allocation'!$B$234:$B$253,$O524,'9. Payroll Allocation'!$H$234:$H$253,"Tied out"))&gt;0,"Linked","MISSING DETAIL")))</f>
        <v/>
      </c>
      <c r="T524" s="58" t="str">
        <f t="shared" si="79"/>
        <v/>
      </c>
      <c r="U524" s="59" t="str">
        <f>IF($T524="","",COUNTIF($T$6:$T524,"?*"))</f>
        <v/>
      </c>
      <c r="V524" s="58" t="str">
        <f t="shared" si="80"/>
        <v/>
      </c>
    </row>
    <row r="525" spans="1:22" ht="12.95" customHeight="1" x14ac:dyDescent="0.25">
      <c r="A525" s="60" t="str">
        <f t="shared" si="72"/>
        <v/>
      </c>
      <c r="B525" s="37"/>
      <c r="C525" s="28"/>
      <c r="D525" s="35"/>
      <c r="E525" s="38"/>
      <c r="F525" s="38"/>
      <c r="G525" s="60" t="str">
        <f t="shared" si="73"/>
        <v/>
      </c>
      <c r="H525" s="61" t="str">
        <f t="shared" si="74"/>
        <v/>
      </c>
      <c r="I525" s="40"/>
      <c r="J525" s="62" t="str">
        <f t="shared" si="75"/>
        <v/>
      </c>
      <c r="K525" s="45" t="str">
        <f t="shared" si="76"/>
        <v/>
      </c>
      <c r="L525" s="55"/>
      <c r="M525" s="63">
        <f t="shared" si="77"/>
        <v>0</v>
      </c>
      <c r="N525" s="63">
        <f t="shared" si="78"/>
        <v>0</v>
      </c>
      <c r="O525" s="57"/>
      <c r="P525" s="40"/>
      <c r="Q525" s="60" t="str">
        <f>IF($D525="","",IF($K525&lt;&gt;"Balance Sheet / Clearing","-",IF(SUMPRODUCT(--(LEFT('7. Settlements'!$J$8:$J$107,7)=$A525),--('7. Settlements'!$M$8:$M$107="Tied out"))+SUMPRODUCT(--(LEFT('8. Transfers'!$H$9:$H$108,7)=$A525),--('8. Transfers'!$J$9:$J$108="Matched"))+SUMPRODUCT(--(LEFT('8. Transfers'!$I$9:$I$108,7)=$A525),--('8. Transfers'!$J$9:$J$108="Matched"))+IF($O525="",0,COUNTIFS('9. Payroll Allocation'!$B$234:$B$253,$O525,'9. Payroll Allocation'!$H$234:$H$253,"Tied out"))&gt;0,"Linked","MISSING DETAIL")))</f>
        <v/>
      </c>
      <c r="T525" s="58" t="str">
        <f t="shared" si="79"/>
        <v/>
      </c>
      <c r="U525" s="59" t="str">
        <f>IF($T525="","",COUNTIF($T$6:$T525,"?*"))</f>
        <v/>
      </c>
      <c r="V525" s="58" t="str">
        <f t="shared" si="80"/>
        <v/>
      </c>
    </row>
    <row r="526" spans="1:22" ht="12.95" customHeight="1" x14ac:dyDescent="0.25">
      <c r="A526" s="52" t="str">
        <f t="shared" si="72"/>
        <v/>
      </c>
      <c r="B526" s="37"/>
      <c r="C526" s="28"/>
      <c r="D526" s="35"/>
      <c r="E526" s="38"/>
      <c r="F526" s="38"/>
      <c r="G526" s="52" t="str">
        <f t="shared" si="73"/>
        <v/>
      </c>
      <c r="H526" s="53" t="str">
        <f t="shared" si="74"/>
        <v/>
      </c>
      <c r="I526" s="40"/>
      <c r="J526" s="54" t="str">
        <f t="shared" si="75"/>
        <v/>
      </c>
      <c r="K526" s="41" t="str">
        <f t="shared" si="76"/>
        <v/>
      </c>
      <c r="L526" s="55"/>
      <c r="M526" s="56">
        <f t="shared" si="77"/>
        <v>0</v>
      </c>
      <c r="N526" s="56">
        <f t="shared" si="78"/>
        <v>0</v>
      </c>
      <c r="O526" s="57"/>
      <c r="P526" s="40"/>
      <c r="Q526" s="52" t="str">
        <f>IF($D526="","",IF($K526&lt;&gt;"Balance Sheet / Clearing","-",IF(SUMPRODUCT(--(LEFT('7. Settlements'!$J$8:$J$107,7)=$A526),--('7. Settlements'!$M$8:$M$107="Tied out"))+SUMPRODUCT(--(LEFT('8. Transfers'!$H$9:$H$108,7)=$A526),--('8. Transfers'!$J$9:$J$108="Matched"))+SUMPRODUCT(--(LEFT('8. Transfers'!$I$9:$I$108,7)=$A526),--('8. Transfers'!$J$9:$J$108="Matched"))+IF($O526="",0,COUNTIFS('9. Payroll Allocation'!$B$234:$B$253,$O526,'9. Payroll Allocation'!$H$234:$H$253,"Tied out"))&gt;0,"Linked","MISSING DETAIL")))</f>
        <v/>
      </c>
      <c r="T526" s="58" t="str">
        <f t="shared" si="79"/>
        <v/>
      </c>
      <c r="U526" s="59" t="str">
        <f>IF($T526="","",COUNTIF($T$6:$T526,"?*"))</f>
        <v/>
      </c>
      <c r="V526" s="58" t="str">
        <f t="shared" si="80"/>
        <v/>
      </c>
    </row>
    <row r="527" spans="1:22" ht="12.95" customHeight="1" x14ac:dyDescent="0.25">
      <c r="A527" s="60" t="str">
        <f t="shared" si="72"/>
        <v/>
      </c>
      <c r="B527" s="37"/>
      <c r="C527" s="28"/>
      <c r="D527" s="35"/>
      <c r="E527" s="38"/>
      <c r="F527" s="38"/>
      <c r="G527" s="60" t="str">
        <f t="shared" si="73"/>
        <v/>
      </c>
      <c r="H527" s="61" t="str">
        <f t="shared" si="74"/>
        <v/>
      </c>
      <c r="I527" s="40"/>
      <c r="J527" s="62" t="str">
        <f t="shared" si="75"/>
        <v/>
      </c>
      <c r="K527" s="45" t="str">
        <f t="shared" si="76"/>
        <v/>
      </c>
      <c r="L527" s="55"/>
      <c r="M527" s="63">
        <f t="shared" si="77"/>
        <v>0</v>
      </c>
      <c r="N527" s="63">
        <f t="shared" si="78"/>
        <v>0</v>
      </c>
      <c r="O527" s="57"/>
      <c r="P527" s="40"/>
      <c r="Q527" s="60" t="str">
        <f>IF($D527="","",IF($K527&lt;&gt;"Balance Sheet / Clearing","-",IF(SUMPRODUCT(--(LEFT('7. Settlements'!$J$8:$J$107,7)=$A527),--('7. Settlements'!$M$8:$M$107="Tied out"))+SUMPRODUCT(--(LEFT('8. Transfers'!$H$9:$H$108,7)=$A527),--('8. Transfers'!$J$9:$J$108="Matched"))+SUMPRODUCT(--(LEFT('8. Transfers'!$I$9:$I$108,7)=$A527),--('8. Transfers'!$J$9:$J$108="Matched"))+IF($O527="",0,COUNTIFS('9. Payroll Allocation'!$B$234:$B$253,$O527,'9. Payroll Allocation'!$H$234:$H$253,"Tied out"))&gt;0,"Linked","MISSING DETAIL")))</f>
        <v/>
      </c>
      <c r="T527" s="58" t="str">
        <f t="shared" si="79"/>
        <v/>
      </c>
      <c r="U527" s="59" t="str">
        <f>IF($T527="","",COUNTIF($T$6:$T527,"?*"))</f>
        <v/>
      </c>
      <c r="V527" s="58" t="str">
        <f t="shared" si="80"/>
        <v/>
      </c>
    </row>
    <row r="528" spans="1:22" ht="12.95" customHeight="1" x14ac:dyDescent="0.25">
      <c r="A528" s="52" t="str">
        <f t="shared" si="72"/>
        <v/>
      </c>
      <c r="B528" s="37"/>
      <c r="C528" s="28"/>
      <c r="D528" s="35"/>
      <c r="E528" s="38"/>
      <c r="F528" s="38"/>
      <c r="G528" s="52" t="str">
        <f t="shared" si="73"/>
        <v/>
      </c>
      <c r="H528" s="53" t="str">
        <f t="shared" si="74"/>
        <v/>
      </c>
      <c r="I528" s="40"/>
      <c r="J528" s="54" t="str">
        <f t="shared" si="75"/>
        <v/>
      </c>
      <c r="K528" s="41" t="str">
        <f t="shared" si="76"/>
        <v/>
      </c>
      <c r="L528" s="55"/>
      <c r="M528" s="56">
        <f t="shared" si="77"/>
        <v>0</v>
      </c>
      <c r="N528" s="56">
        <f t="shared" si="78"/>
        <v>0</v>
      </c>
      <c r="O528" s="57"/>
      <c r="P528" s="40"/>
      <c r="Q528" s="52" t="str">
        <f>IF($D528="","",IF($K528&lt;&gt;"Balance Sheet / Clearing","-",IF(SUMPRODUCT(--(LEFT('7. Settlements'!$J$8:$J$107,7)=$A528),--('7. Settlements'!$M$8:$M$107="Tied out"))+SUMPRODUCT(--(LEFT('8. Transfers'!$H$9:$H$108,7)=$A528),--('8. Transfers'!$J$9:$J$108="Matched"))+SUMPRODUCT(--(LEFT('8. Transfers'!$I$9:$I$108,7)=$A528),--('8. Transfers'!$J$9:$J$108="Matched"))+IF($O528="",0,COUNTIFS('9. Payroll Allocation'!$B$234:$B$253,$O528,'9. Payroll Allocation'!$H$234:$H$253,"Tied out"))&gt;0,"Linked","MISSING DETAIL")))</f>
        <v/>
      </c>
      <c r="T528" s="58" t="str">
        <f t="shared" si="79"/>
        <v/>
      </c>
      <c r="U528" s="59" t="str">
        <f>IF($T528="","",COUNTIF($T$6:$T528,"?*"))</f>
        <v/>
      </c>
      <c r="V528" s="58" t="str">
        <f t="shared" si="80"/>
        <v/>
      </c>
    </row>
    <row r="529" spans="1:22" ht="12.95" customHeight="1" x14ac:dyDescent="0.25">
      <c r="A529" s="60" t="str">
        <f t="shared" si="72"/>
        <v/>
      </c>
      <c r="B529" s="37"/>
      <c r="C529" s="28"/>
      <c r="D529" s="35"/>
      <c r="E529" s="38"/>
      <c r="F529" s="38"/>
      <c r="G529" s="60" t="str">
        <f t="shared" si="73"/>
        <v/>
      </c>
      <c r="H529" s="61" t="str">
        <f t="shared" si="74"/>
        <v/>
      </c>
      <c r="I529" s="40"/>
      <c r="J529" s="62" t="str">
        <f t="shared" si="75"/>
        <v/>
      </c>
      <c r="K529" s="45" t="str">
        <f t="shared" si="76"/>
        <v/>
      </c>
      <c r="L529" s="55"/>
      <c r="M529" s="63">
        <f t="shared" si="77"/>
        <v>0</v>
      </c>
      <c r="N529" s="63">
        <f t="shared" si="78"/>
        <v>0</v>
      </c>
      <c r="O529" s="57"/>
      <c r="P529" s="40"/>
      <c r="Q529" s="60" t="str">
        <f>IF($D529="","",IF($K529&lt;&gt;"Balance Sheet / Clearing","-",IF(SUMPRODUCT(--(LEFT('7. Settlements'!$J$8:$J$107,7)=$A529),--('7. Settlements'!$M$8:$M$107="Tied out"))+SUMPRODUCT(--(LEFT('8. Transfers'!$H$9:$H$108,7)=$A529),--('8. Transfers'!$J$9:$J$108="Matched"))+SUMPRODUCT(--(LEFT('8. Transfers'!$I$9:$I$108,7)=$A529),--('8. Transfers'!$J$9:$J$108="Matched"))+IF($O529="",0,COUNTIFS('9. Payroll Allocation'!$B$234:$B$253,$O529,'9. Payroll Allocation'!$H$234:$H$253,"Tied out"))&gt;0,"Linked","MISSING DETAIL")))</f>
        <v/>
      </c>
      <c r="T529" s="58" t="str">
        <f t="shared" si="79"/>
        <v/>
      </c>
      <c r="U529" s="59" t="str">
        <f>IF($T529="","",COUNTIF($T$6:$T529,"?*"))</f>
        <v/>
      </c>
      <c r="V529" s="58" t="str">
        <f t="shared" si="80"/>
        <v/>
      </c>
    </row>
    <row r="530" spans="1:22" ht="12.95" customHeight="1" x14ac:dyDescent="0.25">
      <c r="A530" s="52" t="str">
        <f t="shared" si="72"/>
        <v/>
      </c>
      <c r="B530" s="37"/>
      <c r="C530" s="28"/>
      <c r="D530" s="35"/>
      <c r="E530" s="38"/>
      <c r="F530" s="38"/>
      <c r="G530" s="52" t="str">
        <f t="shared" si="73"/>
        <v/>
      </c>
      <c r="H530" s="53" t="str">
        <f t="shared" si="74"/>
        <v/>
      </c>
      <c r="I530" s="40"/>
      <c r="J530" s="54" t="str">
        <f t="shared" si="75"/>
        <v/>
      </c>
      <c r="K530" s="41" t="str">
        <f t="shared" si="76"/>
        <v/>
      </c>
      <c r="L530" s="55"/>
      <c r="M530" s="56">
        <f t="shared" si="77"/>
        <v>0</v>
      </c>
      <c r="N530" s="56">
        <f t="shared" si="78"/>
        <v>0</v>
      </c>
      <c r="O530" s="57"/>
      <c r="P530" s="40"/>
      <c r="Q530" s="52" t="str">
        <f>IF($D530="","",IF($K530&lt;&gt;"Balance Sheet / Clearing","-",IF(SUMPRODUCT(--(LEFT('7. Settlements'!$J$8:$J$107,7)=$A530),--('7. Settlements'!$M$8:$M$107="Tied out"))+SUMPRODUCT(--(LEFT('8. Transfers'!$H$9:$H$108,7)=$A530),--('8. Transfers'!$J$9:$J$108="Matched"))+SUMPRODUCT(--(LEFT('8. Transfers'!$I$9:$I$108,7)=$A530),--('8. Transfers'!$J$9:$J$108="Matched"))+IF($O530="",0,COUNTIFS('9. Payroll Allocation'!$B$234:$B$253,$O530,'9. Payroll Allocation'!$H$234:$H$253,"Tied out"))&gt;0,"Linked","MISSING DETAIL")))</f>
        <v/>
      </c>
      <c r="T530" s="58" t="str">
        <f t="shared" si="79"/>
        <v/>
      </c>
      <c r="U530" s="59" t="str">
        <f>IF($T530="","",COUNTIF($T$6:$T530,"?*"))</f>
        <v/>
      </c>
      <c r="V530" s="58" t="str">
        <f t="shared" si="80"/>
        <v/>
      </c>
    </row>
    <row r="531" spans="1:22" ht="12.95" customHeight="1" x14ac:dyDescent="0.25">
      <c r="A531" s="60" t="str">
        <f t="shared" si="72"/>
        <v/>
      </c>
      <c r="B531" s="37"/>
      <c r="C531" s="28"/>
      <c r="D531" s="35"/>
      <c r="E531" s="38"/>
      <c r="F531" s="38"/>
      <c r="G531" s="60" t="str">
        <f t="shared" si="73"/>
        <v/>
      </c>
      <c r="H531" s="61" t="str">
        <f t="shared" si="74"/>
        <v/>
      </c>
      <c r="I531" s="40"/>
      <c r="J531" s="62" t="str">
        <f t="shared" si="75"/>
        <v/>
      </c>
      <c r="K531" s="45" t="str">
        <f t="shared" si="76"/>
        <v/>
      </c>
      <c r="L531" s="55"/>
      <c r="M531" s="63">
        <f t="shared" si="77"/>
        <v>0</v>
      </c>
      <c r="N531" s="63">
        <f t="shared" si="78"/>
        <v>0</v>
      </c>
      <c r="O531" s="57"/>
      <c r="P531" s="40"/>
      <c r="Q531" s="60" t="str">
        <f>IF($D531="","",IF($K531&lt;&gt;"Balance Sheet / Clearing","-",IF(SUMPRODUCT(--(LEFT('7. Settlements'!$J$8:$J$107,7)=$A531),--('7. Settlements'!$M$8:$M$107="Tied out"))+SUMPRODUCT(--(LEFT('8. Transfers'!$H$9:$H$108,7)=$A531),--('8. Transfers'!$J$9:$J$108="Matched"))+SUMPRODUCT(--(LEFT('8. Transfers'!$I$9:$I$108,7)=$A531),--('8. Transfers'!$J$9:$J$108="Matched"))+IF($O531="",0,COUNTIFS('9. Payroll Allocation'!$B$234:$B$253,$O531,'9. Payroll Allocation'!$H$234:$H$253,"Tied out"))&gt;0,"Linked","MISSING DETAIL")))</f>
        <v/>
      </c>
      <c r="T531" s="58" t="str">
        <f t="shared" si="79"/>
        <v/>
      </c>
      <c r="U531" s="59" t="str">
        <f>IF($T531="","",COUNTIF($T$6:$T531,"?*"))</f>
        <v/>
      </c>
      <c r="V531" s="58" t="str">
        <f t="shared" si="80"/>
        <v/>
      </c>
    </row>
    <row r="532" spans="1:22" ht="12.95" customHeight="1" x14ac:dyDescent="0.25">
      <c r="A532" s="52" t="str">
        <f t="shared" si="72"/>
        <v/>
      </c>
      <c r="B532" s="37"/>
      <c r="C532" s="28"/>
      <c r="D532" s="35"/>
      <c r="E532" s="38"/>
      <c r="F532" s="38"/>
      <c r="G532" s="52" t="str">
        <f t="shared" si="73"/>
        <v/>
      </c>
      <c r="H532" s="53" t="str">
        <f t="shared" si="74"/>
        <v/>
      </c>
      <c r="I532" s="40"/>
      <c r="J532" s="54" t="str">
        <f t="shared" si="75"/>
        <v/>
      </c>
      <c r="K532" s="41" t="str">
        <f t="shared" si="76"/>
        <v/>
      </c>
      <c r="L532" s="55"/>
      <c r="M532" s="56">
        <f t="shared" si="77"/>
        <v>0</v>
      </c>
      <c r="N532" s="56">
        <f t="shared" si="78"/>
        <v>0</v>
      </c>
      <c r="O532" s="57"/>
      <c r="P532" s="40"/>
      <c r="Q532" s="52" t="str">
        <f>IF($D532="","",IF($K532&lt;&gt;"Balance Sheet / Clearing","-",IF(SUMPRODUCT(--(LEFT('7. Settlements'!$J$8:$J$107,7)=$A532),--('7. Settlements'!$M$8:$M$107="Tied out"))+SUMPRODUCT(--(LEFT('8. Transfers'!$H$9:$H$108,7)=$A532),--('8. Transfers'!$J$9:$J$108="Matched"))+SUMPRODUCT(--(LEFT('8. Transfers'!$I$9:$I$108,7)=$A532),--('8. Transfers'!$J$9:$J$108="Matched"))+IF($O532="",0,COUNTIFS('9. Payroll Allocation'!$B$234:$B$253,$O532,'9. Payroll Allocation'!$H$234:$H$253,"Tied out"))&gt;0,"Linked","MISSING DETAIL")))</f>
        <v/>
      </c>
      <c r="T532" s="58" t="str">
        <f t="shared" si="79"/>
        <v/>
      </c>
      <c r="U532" s="59" t="str">
        <f>IF($T532="","",COUNTIF($T$6:$T532,"?*"))</f>
        <v/>
      </c>
      <c r="V532" s="58" t="str">
        <f t="shared" si="80"/>
        <v/>
      </c>
    </row>
    <row r="533" spans="1:22" ht="12.95" customHeight="1" x14ac:dyDescent="0.25">
      <c r="A533" s="60" t="str">
        <f t="shared" si="72"/>
        <v/>
      </c>
      <c r="B533" s="37"/>
      <c r="C533" s="28"/>
      <c r="D533" s="35"/>
      <c r="E533" s="38"/>
      <c r="F533" s="38"/>
      <c r="G533" s="60" t="str">
        <f t="shared" si="73"/>
        <v/>
      </c>
      <c r="H533" s="61" t="str">
        <f t="shared" si="74"/>
        <v/>
      </c>
      <c r="I533" s="40"/>
      <c r="J533" s="62" t="str">
        <f t="shared" si="75"/>
        <v/>
      </c>
      <c r="K533" s="45" t="str">
        <f t="shared" si="76"/>
        <v/>
      </c>
      <c r="L533" s="55"/>
      <c r="M533" s="63">
        <f t="shared" si="77"/>
        <v>0</v>
      </c>
      <c r="N533" s="63">
        <f t="shared" si="78"/>
        <v>0</v>
      </c>
      <c r="O533" s="57"/>
      <c r="P533" s="40"/>
      <c r="Q533" s="60" t="str">
        <f>IF($D533="","",IF($K533&lt;&gt;"Balance Sheet / Clearing","-",IF(SUMPRODUCT(--(LEFT('7. Settlements'!$J$8:$J$107,7)=$A533),--('7. Settlements'!$M$8:$M$107="Tied out"))+SUMPRODUCT(--(LEFT('8. Transfers'!$H$9:$H$108,7)=$A533),--('8. Transfers'!$J$9:$J$108="Matched"))+SUMPRODUCT(--(LEFT('8. Transfers'!$I$9:$I$108,7)=$A533),--('8. Transfers'!$J$9:$J$108="Matched"))+IF($O533="",0,COUNTIFS('9. Payroll Allocation'!$B$234:$B$253,$O533,'9. Payroll Allocation'!$H$234:$H$253,"Tied out"))&gt;0,"Linked","MISSING DETAIL")))</f>
        <v/>
      </c>
      <c r="T533" s="58" t="str">
        <f t="shared" si="79"/>
        <v/>
      </c>
      <c r="U533" s="59" t="str">
        <f>IF($T533="","",COUNTIF($T$6:$T533,"?*"))</f>
        <v/>
      </c>
      <c r="V533" s="58" t="str">
        <f t="shared" si="80"/>
        <v/>
      </c>
    </row>
    <row r="534" spans="1:22" ht="12.95" customHeight="1" x14ac:dyDescent="0.25">
      <c r="A534" s="52" t="str">
        <f t="shared" si="72"/>
        <v/>
      </c>
      <c r="B534" s="37"/>
      <c r="C534" s="28"/>
      <c r="D534" s="35"/>
      <c r="E534" s="38"/>
      <c r="F534" s="38"/>
      <c r="G534" s="52" t="str">
        <f t="shared" si="73"/>
        <v/>
      </c>
      <c r="H534" s="53" t="str">
        <f t="shared" si="74"/>
        <v/>
      </c>
      <c r="I534" s="40"/>
      <c r="J534" s="54" t="str">
        <f t="shared" si="75"/>
        <v/>
      </c>
      <c r="K534" s="41" t="str">
        <f t="shared" si="76"/>
        <v/>
      </c>
      <c r="L534" s="55"/>
      <c r="M534" s="56">
        <f t="shared" si="77"/>
        <v>0</v>
      </c>
      <c r="N534" s="56">
        <f t="shared" si="78"/>
        <v>0</v>
      </c>
      <c r="O534" s="57"/>
      <c r="P534" s="40"/>
      <c r="Q534" s="52" t="str">
        <f>IF($D534="","",IF($K534&lt;&gt;"Balance Sheet / Clearing","-",IF(SUMPRODUCT(--(LEFT('7. Settlements'!$J$8:$J$107,7)=$A534),--('7. Settlements'!$M$8:$M$107="Tied out"))+SUMPRODUCT(--(LEFT('8. Transfers'!$H$9:$H$108,7)=$A534),--('8. Transfers'!$J$9:$J$108="Matched"))+SUMPRODUCT(--(LEFT('8. Transfers'!$I$9:$I$108,7)=$A534),--('8. Transfers'!$J$9:$J$108="Matched"))+IF($O534="",0,COUNTIFS('9. Payroll Allocation'!$B$234:$B$253,$O534,'9. Payroll Allocation'!$H$234:$H$253,"Tied out"))&gt;0,"Linked","MISSING DETAIL")))</f>
        <v/>
      </c>
      <c r="T534" s="58" t="str">
        <f t="shared" si="79"/>
        <v/>
      </c>
      <c r="U534" s="59" t="str">
        <f>IF($T534="","",COUNTIF($T$6:$T534,"?*"))</f>
        <v/>
      </c>
      <c r="V534" s="58" t="str">
        <f t="shared" si="80"/>
        <v/>
      </c>
    </row>
    <row r="535" spans="1:22" ht="12.95" customHeight="1" x14ac:dyDescent="0.25">
      <c r="A535" s="60" t="str">
        <f t="shared" si="72"/>
        <v/>
      </c>
      <c r="B535" s="37"/>
      <c r="C535" s="28"/>
      <c r="D535" s="35"/>
      <c r="E535" s="38"/>
      <c r="F535" s="38"/>
      <c r="G535" s="60" t="str">
        <f t="shared" si="73"/>
        <v/>
      </c>
      <c r="H535" s="61" t="str">
        <f t="shared" si="74"/>
        <v/>
      </c>
      <c r="I535" s="40"/>
      <c r="J535" s="62" t="str">
        <f t="shared" si="75"/>
        <v/>
      </c>
      <c r="K535" s="45" t="str">
        <f t="shared" si="76"/>
        <v/>
      </c>
      <c r="L535" s="55"/>
      <c r="M535" s="63">
        <f t="shared" si="77"/>
        <v>0</v>
      </c>
      <c r="N535" s="63">
        <f t="shared" si="78"/>
        <v>0</v>
      </c>
      <c r="O535" s="57"/>
      <c r="P535" s="40"/>
      <c r="Q535" s="60" t="str">
        <f>IF($D535="","",IF($K535&lt;&gt;"Balance Sheet / Clearing","-",IF(SUMPRODUCT(--(LEFT('7. Settlements'!$J$8:$J$107,7)=$A535),--('7. Settlements'!$M$8:$M$107="Tied out"))+SUMPRODUCT(--(LEFT('8. Transfers'!$H$9:$H$108,7)=$A535),--('8. Transfers'!$J$9:$J$108="Matched"))+SUMPRODUCT(--(LEFT('8. Transfers'!$I$9:$I$108,7)=$A535),--('8. Transfers'!$J$9:$J$108="Matched"))+IF($O535="",0,COUNTIFS('9. Payroll Allocation'!$B$234:$B$253,$O535,'9. Payroll Allocation'!$H$234:$H$253,"Tied out"))&gt;0,"Linked","MISSING DETAIL")))</f>
        <v/>
      </c>
      <c r="T535" s="58" t="str">
        <f t="shared" si="79"/>
        <v/>
      </c>
      <c r="U535" s="59" t="str">
        <f>IF($T535="","",COUNTIF($T$6:$T535,"?*"))</f>
        <v/>
      </c>
      <c r="V535" s="58" t="str">
        <f t="shared" si="80"/>
        <v/>
      </c>
    </row>
    <row r="536" spans="1:22" ht="12.95" customHeight="1" x14ac:dyDescent="0.25">
      <c r="A536" s="52" t="str">
        <f t="shared" si="72"/>
        <v/>
      </c>
      <c r="B536" s="37"/>
      <c r="C536" s="28"/>
      <c r="D536" s="35"/>
      <c r="E536" s="38"/>
      <c r="F536" s="38"/>
      <c r="G536" s="52" t="str">
        <f t="shared" si="73"/>
        <v/>
      </c>
      <c r="H536" s="53" t="str">
        <f t="shared" si="74"/>
        <v/>
      </c>
      <c r="I536" s="40"/>
      <c r="J536" s="54" t="str">
        <f t="shared" si="75"/>
        <v/>
      </c>
      <c r="K536" s="41" t="str">
        <f t="shared" si="76"/>
        <v/>
      </c>
      <c r="L536" s="55"/>
      <c r="M536" s="56">
        <f t="shared" si="77"/>
        <v>0</v>
      </c>
      <c r="N536" s="56">
        <f t="shared" si="78"/>
        <v>0</v>
      </c>
      <c r="O536" s="57"/>
      <c r="P536" s="40"/>
      <c r="Q536" s="52" t="str">
        <f>IF($D536="","",IF($K536&lt;&gt;"Balance Sheet / Clearing","-",IF(SUMPRODUCT(--(LEFT('7. Settlements'!$J$8:$J$107,7)=$A536),--('7. Settlements'!$M$8:$M$107="Tied out"))+SUMPRODUCT(--(LEFT('8. Transfers'!$H$9:$H$108,7)=$A536),--('8. Transfers'!$J$9:$J$108="Matched"))+SUMPRODUCT(--(LEFT('8. Transfers'!$I$9:$I$108,7)=$A536),--('8. Transfers'!$J$9:$J$108="Matched"))+IF($O536="",0,COUNTIFS('9. Payroll Allocation'!$B$234:$B$253,$O536,'9. Payroll Allocation'!$H$234:$H$253,"Tied out"))&gt;0,"Linked","MISSING DETAIL")))</f>
        <v/>
      </c>
      <c r="T536" s="58" t="str">
        <f t="shared" si="79"/>
        <v/>
      </c>
      <c r="U536" s="59" t="str">
        <f>IF($T536="","",COUNTIF($T$6:$T536,"?*"))</f>
        <v/>
      </c>
      <c r="V536" s="58" t="str">
        <f t="shared" si="80"/>
        <v/>
      </c>
    </row>
    <row r="537" spans="1:22" ht="12.95" customHeight="1" x14ac:dyDescent="0.25">
      <c r="A537" s="60" t="str">
        <f t="shared" si="72"/>
        <v/>
      </c>
      <c r="B537" s="37"/>
      <c r="C537" s="28"/>
      <c r="D537" s="35"/>
      <c r="E537" s="38"/>
      <c r="F537" s="38"/>
      <c r="G537" s="60" t="str">
        <f t="shared" si="73"/>
        <v/>
      </c>
      <c r="H537" s="61" t="str">
        <f t="shared" si="74"/>
        <v/>
      </c>
      <c r="I537" s="40"/>
      <c r="J537" s="62" t="str">
        <f t="shared" si="75"/>
        <v/>
      </c>
      <c r="K537" s="45" t="str">
        <f t="shared" si="76"/>
        <v/>
      </c>
      <c r="L537" s="55"/>
      <c r="M537" s="63">
        <f t="shared" si="77"/>
        <v>0</v>
      </c>
      <c r="N537" s="63">
        <f t="shared" si="78"/>
        <v>0</v>
      </c>
      <c r="O537" s="57"/>
      <c r="P537" s="40"/>
      <c r="Q537" s="60" t="str">
        <f>IF($D537="","",IF($K537&lt;&gt;"Balance Sheet / Clearing","-",IF(SUMPRODUCT(--(LEFT('7. Settlements'!$J$8:$J$107,7)=$A537),--('7. Settlements'!$M$8:$M$107="Tied out"))+SUMPRODUCT(--(LEFT('8. Transfers'!$H$9:$H$108,7)=$A537),--('8. Transfers'!$J$9:$J$108="Matched"))+SUMPRODUCT(--(LEFT('8. Transfers'!$I$9:$I$108,7)=$A537),--('8. Transfers'!$J$9:$J$108="Matched"))+IF($O537="",0,COUNTIFS('9. Payroll Allocation'!$B$234:$B$253,$O537,'9. Payroll Allocation'!$H$234:$H$253,"Tied out"))&gt;0,"Linked","MISSING DETAIL")))</f>
        <v/>
      </c>
      <c r="T537" s="58" t="str">
        <f t="shared" si="79"/>
        <v/>
      </c>
      <c r="U537" s="59" t="str">
        <f>IF($T537="","",COUNTIF($T$6:$T537,"?*"))</f>
        <v/>
      </c>
      <c r="V537" s="58" t="str">
        <f t="shared" si="80"/>
        <v/>
      </c>
    </row>
    <row r="538" spans="1:22" ht="12.95" customHeight="1" x14ac:dyDescent="0.25">
      <c r="A538" s="52" t="str">
        <f t="shared" si="72"/>
        <v/>
      </c>
      <c r="B538" s="37"/>
      <c r="C538" s="28"/>
      <c r="D538" s="35"/>
      <c r="E538" s="38"/>
      <c r="F538" s="38"/>
      <c r="G538" s="52" t="str">
        <f t="shared" si="73"/>
        <v/>
      </c>
      <c r="H538" s="53" t="str">
        <f t="shared" si="74"/>
        <v/>
      </c>
      <c r="I538" s="40"/>
      <c r="J538" s="54" t="str">
        <f t="shared" si="75"/>
        <v/>
      </c>
      <c r="K538" s="41" t="str">
        <f t="shared" si="76"/>
        <v/>
      </c>
      <c r="L538" s="55"/>
      <c r="M538" s="56">
        <f t="shared" si="77"/>
        <v>0</v>
      </c>
      <c r="N538" s="56">
        <f t="shared" si="78"/>
        <v>0</v>
      </c>
      <c r="O538" s="57"/>
      <c r="P538" s="40"/>
      <c r="Q538" s="52" t="str">
        <f>IF($D538="","",IF($K538&lt;&gt;"Balance Sheet / Clearing","-",IF(SUMPRODUCT(--(LEFT('7. Settlements'!$J$8:$J$107,7)=$A538),--('7. Settlements'!$M$8:$M$107="Tied out"))+SUMPRODUCT(--(LEFT('8. Transfers'!$H$9:$H$108,7)=$A538),--('8. Transfers'!$J$9:$J$108="Matched"))+SUMPRODUCT(--(LEFT('8. Transfers'!$I$9:$I$108,7)=$A538),--('8. Transfers'!$J$9:$J$108="Matched"))+IF($O538="",0,COUNTIFS('9. Payroll Allocation'!$B$234:$B$253,$O538,'9. Payroll Allocation'!$H$234:$H$253,"Tied out"))&gt;0,"Linked","MISSING DETAIL")))</f>
        <v/>
      </c>
      <c r="T538" s="58" t="str">
        <f t="shared" si="79"/>
        <v/>
      </c>
      <c r="U538" s="59" t="str">
        <f>IF($T538="","",COUNTIF($T$6:$T538,"?*"))</f>
        <v/>
      </c>
      <c r="V538" s="58" t="str">
        <f t="shared" si="80"/>
        <v/>
      </c>
    </row>
    <row r="539" spans="1:22" ht="12.95" customHeight="1" x14ac:dyDescent="0.25">
      <c r="A539" s="60" t="str">
        <f t="shared" si="72"/>
        <v/>
      </c>
      <c r="B539" s="37"/>
      <c r="C539" s="28"/>
      <c r="D539" s="35"/>
      <c r="E539" s="38"/>
      <c r="F539" s="38"/>
      <c r="G539" s="60" t="str">
        <f t="shared" si="73"/>
        <v/>
      </c>
      <c r="H539" s="61" t="str">
        <f t="shared" si="74"/>
        <v/>
      </c>
      <c r="I539" s="40"/>
      <c r="J539" s="62" t="str">
        <f t="shared" si="75"/>
        <v/>
      </c>
      <c r="K539" s="45" t="str">
        <f t="shared" si="76"/>
        <v/>
      </c>
      <c r="L539" s="55"/>
      <c r="M539" s="63">
        <f t="shared" si="77"/>
        <v>0</v>
      </c>
      <c r="N539" s="63">
        <f t="shared" si="78"/>
        <v>0</v>
      </c>
      <c r="O539" s="57"/>
      <c r="P539" s="40"/>
      <c r="Q539" s="60" t="str">
        <f>IF($D539="","",IF($K539&lt;&gt;"Balance Sheet / Clearing","-",IF(SUMPRODUCT(--(LEFT('7. Settlements'!$J$8:$J$107,7)=$A539),--('7. Settlements'!$M$8:$M$107="Tied out"))+SUMPRODUCT(--(LEFT('8. Transfers'!$H$9:$H$108,7)=$A539),--('8. Transfers'!$J$9:$J$108="Matched"))+SUMPRODUCT(--(LEFT('8. Transfers'!$I$9:$I$108,7)=$A539),--('8. Transfers'!$J$9:$J$108="Matched"))+IF($O539="",0,COUNTIFS('9. Payroll Allocation'!$B$234:$B$253,$O539,'9. Payroll Allocation'!$H$234:$H$253,"Tied out"))&gt;0,"Linked","MISSING DETAIL")))</f>
        <v/>
      </c>
      <c r="T539" s="58" t="str">
        <f t="shared" si="79"/>
        <v/>
      </c>
      <c r="U539" s="59" t="str">
        <f>IF($T539="","",COUNTIF($T$6:$T539,"?*"))</f>
        <v/>
      </c>
      <c r="V539" s="58" t="str">
        <f t="shared" si="80"/>
        <v/>
      </c>
    </row>
    <row r="540" spans="1:22" ht="12.95" customHeight="1" x14ac:dyDescent="0.25">
      <c r="A540" s="52" t="str">
        <f t="shared" si="72"/>
        <v/>
      </c>
      <c r="B540" s="37"/>
      <c r="C540" s="28"/>
      <c r="D540" s="35"/>
      <c r="E540" s="38"/>
      <c r="F540" s="38"/>
      <c r="G540" s="52" t="str">
        <f t="shared" si="73"/>
        <v/>
      </c>
      <c r="H540" s="53" t="str">
        <f t="shared" si="74"/>
        <v/>
      </c>
      <c r="I540" s="40"/>
      <c r="J540" s="54" t="str">
        <f t="shared" si="75"/>
        <v/>
      </c>
      <c r="K540" s="41" t="str">
        <f t="shared" si="76"/>
        <v/>
      </c>
      <c r="L540" s="55"/>
      <c r="M540" s="56">
        <f t="shared" si="77"/>
        <v>0</v>
      </c>
      <c r="N540" s="56">
        <f t="shared" si="78"/>
        <v>0</v>
      </c>
      <c r="O540" s="57"/>
      <c r="P540" s="40"/>
      <c r="Q540" s="52" t="str">
        <f>IF($D540="","",IF($K540&lt;&gt;"Balance Sheet / Clearing","-",IF(SUMPRODUCT(--(LEFT('7. Settlements'!$J$8:$J$107,7)=$A540),--('7. Settlements'!$M$8:$M$107="Tied out"))+SUMPRODUCT(--(LEFT('8. Transfers'!$H$9:$H$108,7)=$A540),--('8. Transfers'!$J$9:$J$108="Matched"))+SUMPRODUCT(--(LEFT('8. Transfers'!$I$9:$I$108,7)=$A540),--('8. Transfers'!$J$9:$J$108="Matched"))+IF($O540="",0,COUNTIFS('9. Payroll Allocation'!$B$234:$B$253,$O540,'9. Payroll Allocation'!$H$234:$H$253,"Tied out"))&gt;0,"Linked","MISSING DETAIL")))</f>
        <v/>
      </c>
      <c r="T540" s="58" t="str">
        <f t="shared" si="79"/>
        <v/>
      </c>
      <c r="U540" s="59" t="str">
        <f>IF($T540="","",COUNTIF($T$6:$T540,"?*"))</f>
        <v/>
      </c>
      <c r="V540" s="58" t="str">
        <f t="shared" si="80"/>
        <v/>
      </c>
    </row>
    <row r="541" spans="1:22" ht="12.95" customHeight="1" x14ac:dyDescent="0.25">
      <c r="A541" s="60" t="str">
        <f t="shared" si="72"/>
        <v/>
      </c>
      <c r="B541" s="37"/>
      <c r="C541" s="28"/>
      <c r="D541" s="35"/>
      <c r="E541" s="38"/>
      <c r="F541" s="38"/>
      <c r="G541" s="60" t="str">
        <f t="shared" si="73"/>
        <v/>
      </c>
      <c r="H541" s="61" t="str">
        <f t="shared" si="74"/>
        <v/>
      </c>
      <c r="I541" s="40"/>
      <c r="J541" s="62" t="str">
        <f t="shared" si="75"/>
        <v/>
      </c>
      <c r="K541" s="45" t="str">
        <f t="shared" si="76"/>
        <v/>
      </c>
      <c r="L541" s="55"/>
      <c r="M541" s="63">
        <f t="shared" si="77"/>
        <v>0</v>
      </c>
      <c r="N541" s="63">
        <f t="shared" si="78"/>
        <v>0</v>
      </c>
      <c r="O541" s="57"/>
      <c r="P541" s="40"/>
      <c r="Q541" s="60" t="str">
        <f>IF($D541="","",IF($K541&lt;&gt;"Balance Sheet / Clearing","-",IF(SUMPRODUCT(--(LEFT('7. Settlements'!$J$8:$J$107,7)=$A541),--('7. Settlements'!$M$8:$M$107="Tied out"))+SUMPRODUCT(--(LEFT('8. Transfers'!$H$9:$H$108,7)=$A541),--('8. Transfers'!$J$9:$J$108="Matched"))+SUMPRODUCT(--(LEFT('8. Transfers'!$I$9:$I$108,7)=$A541),--('8. Transfers'!$J$9:$J$108="Matched"))+IF($O541="",0,COUNTIFS('9. Payroll Allocation'!$B$234:$B$253,$O541,'9. Payroll Allocation'!$H$234:$H$253,"Tied out"))&gt;0,"Linked","MISSING DETAIL")))</f>
        <v/>
      </c>
      <c r="T541" s="58" t="str">
        <f t="shared" si="79"/>
        <v/>
      </c>
      <c r="U541" s="59" t="str">
        <f>IF($T541="","",COUNTIF($T$6:$T541,"?*"))</f>
        <v/>
      </c>
      <c r="V541" s="58" t="str">
        <f t="shared" si="80"/>
        <v/>
      </c>
    </row>
    <row r="542" spans="1:22" ht="12.95" customHeight="1" x14ac:dyDescent="0.25">
      <c r="A542" s="52" t="str">
        <f t="shared" si="72"/>
        <v/>
      </c>
      <c r="B542" s="37"/>
      <c r="C542" s="28"/>
      <c r="D542" s="35"/>
      <c r="E542" s="38"/>
      <c r="F542" s="38"/>
      <c r="G542" s="52" t="str">
        <f t="shared" si="73"/>
        <v/>
      </c>
      <c r="H542" s="53" t="str">
        <f t="shared" si="74"/>
        <v/>
      </c>
      <c r="I542" s="40"/>
      <c r="J542" s="54" t="str">
        <f t="shared" si="75"/>
        <v/>
      </c>
      <c r="K542" s="41" t="str">
        <f t="shared" si="76"/>
        <v/>
      </c>
      <c r="L542" s="55"/>
      <c r="M542" s="56">
        <f t="shared" si="77"/>
        <v>0</v>
      </c>
      <c r="N542" s="56">
        <f t="shared" si="78"/>
        <v>0</v>
      </c>
      <c r="O542" s="57"/>
      <c r="P542" s="40"/>
      <c r="Q542" s="52" t="str">
        <f>IF($D542="","",IF($K542&lt;&gt;"Balance Sheet / Clearing","-",IF(SUMPRODUCT(--(LEFT('7. Settlements'!$J$8:$J$107,7)=$A542),--('7. Settlements'!$M$8:$M$107="Tied out"))+SUMPRODUCT(--(LEFT('8. Transfers'!$H$9:$H$108,7)=$A542),--('8. Transfers'!$J$9:$J$108="Matched"))+SUMPRODUCT(--(LEFT('8. Transfers'!$I$9:$I$108,7)=$A542),--('8. Transfers'!$J$9:$J$108="Matched"))+IF($O542="",0,COUNTIFS('9. Payroll Allocation'!$B$234:$B$253,$O542,'9. Payroll Allocation'!$H$234:$H$253,"Tied out"))&gt;0,"Linked","MISSING DETAIL")))</f>
        <v/>
      </c>
      <c r="T542" s="58" t="str">
        <f t="shared" si="79"/>
        <v/>
      </c>
      <c r="U542" s="59" t="str">
        <f>IF($T542="","",COUNTIF($T$6:$T542,"?*"))</f>
        <v/>
      </c>
      <c r="V542" s="58" t="str">
        <f t="shared" si="80"/>
        <v/>
      </c>
    </row>
    <row r="543" spans="1:22" ht="12.95" customHeight="1" x14ac:dyDescent="0.25">
      <c r="A543" s="60" t="str">
        <f t="shared" si="72"/>
        <v/>
      </c>
      <c r="B543" s="37"/>
      <c r="C543" s="28"/>
      <c r="D543" s="35"/>
      <c r="E543" s="38"/>
      <c r="F543" s="38"/>
      <c r="G543" s="60" t="str">
        <f t="shared" si="73"/>
        <v/>
      </c>
      <c r="H543" s="61" t="str">
        <f t="shared" si="74"/>
        <v/>
      </c>
      <c r="I543" s="40"/>
      <c r="J543" s="62" t="str">
        <f t="shared" si="75"/>
        <v/>
      </c>
      <c r="K543" s="45" t="str">
        <f t="shared" si="76"/>
        <v/>
      </c>
      <c r="L543" s="55"/>
      <c r="M543" s="63">
        <f t="shared" si="77"/>
        <v>0</v>
      </c>
      <c r="N543" s="63">
        <f t="shared" si="78"/>
        <v>0</v>
      </c>
      <c r="O543" s="57"/>
      <c r="P543" s="40"/>
      <c r="Q543" s="60" t="str">
        <f>IF($D543="","",IF($K543&lt;&gt;"Balance Sheet / Clearing","-",IF(SUMPRODUCT(--(LEFT('7. Settlements'!$J$8:$J$107,7)=$A543),--('7. Settlements'!$M$8:$M$107="Tied out"))+SUMPRODUCT(--(LEFT('8. Transfers'!$H$9:$H$108,7)=$A543),--('8. Transfers'!$J$9:$J$108="Matched"))+SUMPRODUCT(--(LEFT('8. Transfers'!$I$9:$I$108,7)=$A543),--('8. Transfers'!$J$9:$J$108="Matched"))+IF($O543="",0,COUNTIFS('9. Payroll Allocation'!$B$234:$B$253,$O543,'9. Payroll Allocation'!$H$234:$H$253,"Tied out"))&gt;0,"Linked","MISSING DETAIL")))</f>
        <v/>
      </c>
      <c r="T543" s="58" t="str">
        <f t="shared" si="79"/>
        <v/>
      </c>
      <c r="U543" s="59" t="str">
        <f>IF($T543="","",COUNTIF($T$6:$T543,"?*"))</f>
        <v/>
      </c>
      <c r="V543" s="58" t="str">
        <f t="shared" si="80"/>
        <v/>
      </c>
    </row>
    <row r="544" spans="1:22" ht="12.95" customHeight="1" x14ac:dyDescent="0.25">
      <c r="A544" s="52" t="str">
        <f t="shared" si="72"/>
        <v/>
      </c>
      <c r="B544" s="37"/>
      <c r="C544" s="28"/>
      <c r="D544" s="35"/>
      <c r="E544" s="38"/>
      <c r="F544" s="38"/>
      <c r="G544" s="52" t="str">
        <f t="shared" si="73"/>
        <v/>
      </c>
      <c r="H544" s="53" t="str">
        <f t="shared" si="74"/>
        <v/>
      </c>
      <c r="I544" s="40"/>
      <c r="J544" s="54" t="str">
        <f t="shared" si="75"/>
        <v/>
      </c>
      <c r="K544" s="41" t="str">
        <f t="shared" si="76"/>
        <v/>
      </c>
      <c r="L544" s="55"/>
      <c r="M544" s="56">
        <f t="shared" si="77"/>
        <v>0</v>
      </c>
      <c r="N544" s="56">
        <f t="shared" si="78"/>
        <v>0</v>
      </c>
      <c r="O544" s="57"/>
      <c r="P544" s="40"/>
      <c r="Q544" s="52" t="str">
        <f>IF($D544="","",IF($K544&lt;&gt;"Balance Sheet / Clearing","-",IF(SUMPRODUCT(--(LEFT('7. Settlements'!$J$8:$J$107,7)=$A544),--('7. Settlements'!$M$8:$M$107="Tied out"))+SUMPRODUCT(--(LEFT('8. Transfers'!$H$9:$H$108,7)=$A544),--('8. Transfers'!$J$9:$J$108="Matched"))+SUMPRODUCT(--(LEFT('8. Transfers'!$I$9:$I$108,7)=$A544),--('8. Transfers'!$J$9:$J$108="Matched"))+IF($O544="",0,COUNTIFS('9. Payroll Allocation'!$B$234:$B$253,$O544,'9. Payroll Allocation'!$H$234:$H$253,"Tied out"))&gt;0,"Linked","MISSING DETAIL")))</f>
        <v/>
      </c>
      <c r="T544" s="58" t="str">
        <f t="shared" si="79"/>
        <v/>
      </c>
      <c r="U544" s="59" t="str">
        <f>IF($T544="","",COUNTIF($T$6:$T544,"?*"))</f>
        <v/>
      </c>
      <c r="V544" s="58" t="str">
        <f t="shared" si="80"/>
        <v/>
      </c>
    </row>
    <row r="545" spans="1:22" ht="12.95" customHeight="1" x14ac:dyDescent="0.25">
      <c r="A545" s="60" t="str">
        <f t="shared" si="72"/>
        <v/>
      </c>
      <c r="B545" s="37"/>
      <c r="C545" s="28"/>
      <c r="D545" s="35"/>
      <c r="E545" s="38"/>
      <c r="F545" s="38"/>
      <c r="G545" s="60" t="str">
        <f t="shared" si="73"/>
        <v/>
      </c>
      <c r="H545" s="61" t="str">
        <f t="shared" si="74"/>
        <v/>
      </c>
      <c r="I545" s="40"/>
      <c r="J545" s="62" t="str">
        <f t="shared" si="75"/>
        <v/>
      </c>
      <c r="K545" s="45" t="str">
        <f t="shared" si="76"/>
        <v/>
      </c>
      <c r="L545" s="55"/>
      <c r="M545" s="63">
        <f t="shared" si="77"/>
        <v>0</v>
      </c>
      <c r="N545" s="63">
        <f t="shared" si="78"/>
        <v>0</v>
      </c>
      <c r="O545" s="57"/>
      <c r="P545" s="40"/>
      <c r="Q545" s="60" t="str">
        <f>IF($D545="","",IF($K545&lt;&gt;"Balance Sheet / Clearing","-",IF(SUMPRODUCT(--(LEFT('7. Settlements'!$J$8:$J$107,7)=$A545),--('7. Settlements'!$M$8:$M$107="Tied out"))+SUMPRODUCT(--(LEFT('8. Transfers'!$H$9:$H$108,7)=$A545),--('8. Transfers'!$J$9:$J$108="Matched"))+SUMPRODUCT(--(LEFT('8. Transfers'!$I$9:$I$108,7)=$A545),--('8. Transfers'!$J$9:$J$108="Matched"))+IF($O545="",0,COUNTIFS('9. Payroll Allocation'!$B$234:$B$253,$O545,'9. Payroll Allocation'!$H$234:$H$253,"Tied out"))&gt;0,"Linked","MISSING DETAIL")))</f>
        <v/>
      </c>
      <c r="T545" s="58" t="str">
        <f t="shared" si="79"/>
        <v/>
      </c>
      <c r="U545" s="59" t="str">
        <f>IF($T545="","",COUNTIF($T$6:$T545,"?*"))</f>
        <v/>
      </c>
      <c r="V545" s="58" t="str">
        <f t="shared" si="80"/>
        <v/>
      </c>
    </row>
    <row r="546" spans="1:22" ht="12.95" customHeight="1" x14ac:dyDescent="0.25">
      <c r="A546" s="52" t="str">
        <f t="shared" si="72"/>
        <v/>
      </c>
      <c r="B546" s="37"/>
      <c r="C546" s="28"/>
      <c r="D546" s="35"/>
      <c r="E546" s="38"/>
      <c r="F546" s="38"/>
      <c r="G546" s="52" t="str">
        <f t="shared" si="73"/>
        <v/>
      </c>
      <c r="H546" s="53" t="str">
        <f t="shared" si="74"/>
        <v/>
      </c>
      <c r="I546" s="40"/>
      <c r="J546" s="54" t="str">
        <f t="shared" si="75"/>
        <v/>
      </c>
      <c r="K546" s="41" t="str">
        <f t="shared" si="76"/>
        <v/>
      </c>
      <c r="L546" s="55"/>
      <c r="M546" s="56">
        <f t="shared" si="77"/>
        <v>0</v>
      </c>
      <c r="N546" s="56">
        <f t="shared" si="78"/>
        <v>0</v>
      </c>
      <c r="O546" s="57"/>
      <c r="P546" s="40"/>
      <c r="Q546" s="52" t="str">
        <f>IF($D546="","",IF($K546&lt;&gt;"Balance Sheet / Clearing","-",IF(SUMPRODUCT(--(LEFT('7. Settlements'!$J$8:$J$107,7)=$A546),--('7. Settlements'!$M$8:$M$107="Tied out"))+SUMPRODUCT(--(LEFT('8. Transfers'!$H$9:$H$108,7)=$A546),--('8. Transfers'!$J$9:$J$108="Matched"))+SUMPRODUCT(--(LEFT('8. Transfers'!$I$9:$I$108,7)=$A546),--('8. Transfers'!$J$9:$J$108="Matched"))+IF($O546="",0,COUNTIFS('9. Payroll Allocation'!$B$234:$B$253,$O546,'9. Payroll Allocation'!$H$234:$H$253,"Tied out"))&gt;0,"Linked","MISSING DETAIL")))</f>
        <v/>
      </c>
      <c r="T546" s="58" t="str">
        <f t="shared" si="79"/>
        <v/>
      </c>
      <c r="U546" s="59" t="str">
        <f>IF($T546="","",COUNTIF($T$6:$T546,"?*"))</f>
        <v/>
      </c>
      <c r="V546" s="58" t="str">
        <f t="shared" si="80"/>
        <v/>
      </c>
    </row>
    <row r="547" spans="1:22" ht="12.95" customHeight="1" x14ac:dyDescent="0.25">
      <c r="A547" s="60" t="str">
        <f t="shared" si="72"/>
        <v/>
      </c>
      <c r="B547" s="37"/>
      <c r="C547" s="28"/>
      <c r="D547" s="35"/>
      <c r="E547" s="38"/>
      <c r="F547" s="38"/>
      <c r="G547" s="60" t="str">
        <f t="shared" si="73"/>
        <v/>
      </c>
      <c r="H547" s="61" t="str">
        <f t="shared" si="74"/>
        <v/>
      </c>
      <c r="I547" s="40"/>
      <c r="J547" s="62" t="str">
        <f t="shared" si="75"/>
        <v/>
      </c>
      <c r="K547" s="45" t="str">
        <f t="shared" si="76"/>
        <v/>
      </c>
      <c r="L547" s="55"/>
      <c r="M547" s="63">
        <f t="shared" si="77"/>
        <v>0</v>
      </c>
      <c r="N547" s="63">
        <f t="shared" si="78"/>
        <v>0</v>
      </c>
      <c r="O547" s="57"/>
      <c r="P547" s="40"/>
      <c r="Q547" s="60" t="str">
        <f>IF($D547="","",IF($K547&lt;&gt;"Balance Sheet / Clearing","-",IF(SUMPRODUCT(--(LEFT('7. Settlements'!$J$8:$J$107,7)=$A547),--('7. Settlements'!$M$8:$M$107="Tied out"))+SUMPRODUCT(--(LEFT('8. Transfers'!$H$9:$H$108,7)=$A547),--('8. Transfers'!$J$9:$J$108="Matched"))+SUMPRODUCT(--(LEFT('8. Transfers'!$I$9:$I$108,7)=$A547),--('8. Transfers'!$J$9:$J$108="Matched"))+IF($O547="",0,COUNTIFS('9. Payroll Allocation'!$B$234:$B$253,$O547,'9. Payroll Allocation'!$H$234:$H$253,"Tied out"))&gt;0,"Linked","MISSING DETAIL")))</f>
        <v/>
      </c>
      <c r="T547" s="58" t="str">
        <f t="shared" si="79"/>
        <v/>
      </c>
      <c r="U547" s="59" t="str">
        <f>IF($T547="","",COUNTIF($T$6:$T547,"?*"))</f>
        <v/>
      </c>
      <c r="V547" s="58" t="str">
        <f t="shared" si="80"/>
        <v/>
      </c>
    </row>
    <row r="548" spans="1:22" ht="12.95" customHeight="1" x14ac:dyDescent="0.25">
      <c r="A548" s="52" t="str">
        <f t="shared" si="72"/>
        <v/>
      </c>
      <c r="B548" s="37"/>
      <c r="C548" s="28"/>
      <c r="D548" s="35"/>
      <c r="E548" s="38"/>
      <c r="F548" s="38"/>
      <c r="G548" s="52" t="str">
        <f t="shared" si="73"/>
        <v/>
      </c>
      <c r="H548" s="53" t="str">
        <f t="shared" si="74"/>
        <v/>
      </c>
      <c r="I548" s="40"/>
      <c r="J548" s="54" t="str">
        <f t="shared" si="75"/>
        <v/>
      </c>
      <c r="K548" s="41" t="str">
        <f t="shared" si="76"/>
        <v/>
      </c>
      <c r="L548" s="55"/>
      <c r="M548" s="56">
        <f t="shared" si="77"/>
        <v>0</v>
      </c>
      <c r="N548" s="56">
        <f t="shared" si="78"/>
        <v>0</v>
      </c>
      <c r="O548" s="57"/>
      <c r="P548" s="40"/>
      <c r="Q548" s="52" t="str">
        <f>IF($D548="","",IF($K548&lt;&gt;"Balance Sheet / Clearing","-",IF(SUMPRODUCT(--(LEFT('7. Settlements'!$J$8:$J$107,7)=$A548),--('7. Settlements'!$M$8:$M$107="Tied out"))+SUMPRODUCT(--(LEFT('8. Transfers'!$H$9:$H$108,7)=$A548),--('8. Transfers'!$J$9:$J$108="Matched"))+SUMPRODUCT(--(LEFT('8. Transfers'!$I$9:$I$108,7)=$A548),--('8. Transfers'!$J$9:$J$108="Matched"))+IF($O548="",0,COUNTIFS('9. Payroll Allocation'!$B$234:$B$253,$O548,'9. Payroll Allocation'!$H$234:$H$253,"Tied out"))&gt;0,"Linked","MISSING DETAIL")))</f>
        <v/>
      </c>
      <c r="T548" s="58" t="str">
        <f t="shared" si="79"/>
        <v/>
      </c>
      <c r="U548" s="59" t="str">
        <f>IF($T548="","",COUNTIF($T$6:$T548,"?*"))</f>
        <v/>
      </c>
      <c r="V548" s="58" t="str">
        <f t="shared" si="80"/>
        <v/>
      </c>
    </row>
    <row r="549" spans="1:22" ht="12.95" customHeight="1" x14ac:dyDescent="0.25">
      <c r="A549" s="60" t="str">
        <f t="shared" si="72"/>
        <v/>
      </c>
      <c r="B549" s="37"/>
      <c r="C549" s="28"/>
      <c r="D549" s="35"/>
      <c r="E549" s="38"/>
      <c r="F549" s="38"/>
      <c r="G549" s="60" t="str">
        <f t="shared" si="73"/>
        <v/>
      </c>
      <c r="H549" s="61" t="str">
        <f t="shared" si="74"/>
        <v/>
      </c>
      <c r="I549" s="40"/>
      <c r="J549" s="62" t="str">
        <f t="shared" si="75"/>
        <v/>
      </c>
      <c r="K549" s="45" t="str">
        <f t="shared" si="76"/>
        <v/>
      </c>
      <c r="L549" s="55"/>
      <c r="M549" s="63">
        <f t="shared" si="77"/>
        <v>0</v>
      </c>
      <c r="N549" s="63">
        <f t="shared" si="78"/>
        <v>0</v>
      </c>
      <c r="O549" s="57"/>
      <c r="P549" s="40"/>
      <c r="Q549" s="60" t="str">
        <f>IF($D549="","",IF($K549&lt;&gt;"Balance Sheet / Clearing","-",IF(SUMPRODUCT(--(LEFT('7. Settlements'!$J$8:$J$107,7)=$A549),--('7. Settlements'!$M$8:$M$107="Tied out"))+SUMPRODUCT(--(LEFT('8. Transfers'!$H$9:$H$108,7)=$A549),--('8. Transfers'!$J$9:$J$108="Matched"))+SUMPRODUCT(--(LEFT('8. Transfers'!$I$9:$I$108,7)=$A549),--('8. Transfers'!$J$9:$J$108="Matched"))+IF($O549="",0,COUNTIFS('9. Payroll Allocation'!$B$234:$B$253,$O549,'9. Payroll Allocation'!$H$234:$H$253,"Tied out"))&gt;0,"Linked","MISSING DETAIL")))</f>
        <v/>
      </c>
      <c r="T549" s="58" t="str">
        <f t="shared" si="79"/>
        <v/>
      </c>
      <c r="U549" s="59" t="str">
        <f>IF($T549="","",COUNTIF($T$6:$T549,"?*"))</f>
        <v/>
      </c>
      <c r="V549" s="58" t="str">
        <f t="shared" si="80"/>
        <v/>
      </c>
    </row>
    <row r="550" spans="1:22" ht="12.95" customHeight="1" x14ac:dyDescent="0.25">
      <c r="A550" s="52" t="str">
        <f t="shared" si="72"/>
        <v/>
      </c>
      <c r="B550" s="37"/>
      <c r="C550" s="28"/>
      <c r="D550" s="35"/>
      <c r="E550" s="38"/>
      <c r="F550" s="38"/>
      <c r="G550" s="52" t="str">
        <f t="shared" si="73"/>
        <v/>
      </c>
      <c r="H550" s="53" t="str">
        <f t="shared" si="74"/>
        <v/>
      </c>
      <c r="I550" s="40"/>
      <c r="J550" s="54" t="str">
        <f t="shared" si="75"/>
        <v/>
      </c>
      <c r="K550" s="41" t="str">
        <f t="shared" si="76"/>
        <v/>
      </c>
      <c r="L550" s="55"/>
      <c r="M550" s="56">
        <f t="shared" si="77"/>
        <v>0</v>
      </c>
      <c r="N550" s="56">
        <f t="shared" si="78"/>
        <v>0</v>
      </c>
      <c r="O550" s="57"/>
      <c r="P550" s="40"/>
      <c r="Q550" s="52" t="str">
        <f>IF($D550="","",IF($K550&lt;&gt;"Balance Sheet / Clearing","-",IF(SUMPRODUCT(--(LEFT('7. Settlements'!$J$8:$J$107,7)=$A550),--('7. Settlements'!$M$8:$M$107="Tied out"))+SUMPRODUCT(--(LEFT('8. Transfers'!$H$9:$H$108,7)=$A550),--('8. Transfers'!$J$9:$J$108="Matched"))+SUMPRODUCT(--(LEFT('8. Transfers'!$I$9:$I$108,7)=$A550),--('8. Transfers'!$J$9:$J$108="Matched"))+IF($O550="",0,COUNTIFS('9. Payroll Allocation'!$B$234:$B$253,$O550,'9. Payroll Allocation'!$H$234:$H$253,"Tied out"))&gt;0,"Linked","MISSING DETAIL")))</f>
        <v/>
      </c>
      <c r="T550" s="58" t="str">
        <f t="shared" si="79"/>
        <v/>
      </c>
      <c r="U550" s="59" t="str">
        <f>IF($T550="","",COUNTIF($T$6:$T550,"?*"))</f>
        <v/>
      </c>
      <c r="V550" s="58" t="str">
        <f t="shared" si="80"/>
        <v/>
      </c>
    </row>
    <row r="551" spans="1:22" ht="12.95" customHeight="1" x14ac:dyDescent="0.25">
      <c r="A551" s="60" t="str">
        <f t="shared" si="72"/>
        <v/>
      </c>
      <c r="B551" s="37"/>
      <c r="C551" s="28"/>
      <c r="D551" s="35"/>
      <c r="E551" s="38"/>
      <c r="F551" s="38"/>
      <c r="G551" s="60" t="str">
        <f t="shared" si="73"/>
        <v/>
      </c>
      <c r="H551" s="61" t="str">
        <f t="shared" si="74"/>
        <v/>
      </c>
      <c r="I551" s="40"/>
      <c r="J551" s="62" t="str">
        <f t="shared" si="75"/>
        <v/>
      </c>
      <c r="K551" s="45" t="str">
        <f t="shared" si="76"/>
        <v/>
      </c>
      <c r="L551" s="55"/>
      <c r="M551" s="63">
        <f t="shared" si="77"/>
        <v>0</v>
      </c>
      <c r="N551" s="63">
        <f t="shared" si="78"/>
        <v>0</v>
      </c>
      <c r="O551" s="57"/>
      <c r="P551" s="40"/>
      <c r="Q551" s="60" t="str">
        <f>IF($D551="","",IF($K551&lt;&gt;"Balance Sheet / Clearing","-",IF(SUMPRODUCT(--(LEFT('7. Settlements'!$J$8:$J$107,7)=$A551),--('7. Settlements'!$M$8:$M$107="Tied out"))+SUMPRODUCT(--(LEFT('8. Transfers'!$H$9:$H$108,7)=$A551),--('8. Transfers'!$J$9:$J$108="Matched"))+SUMPRODUCT(--(LEFT('8. Transfers'!$I$9:$I$108,7)=$A551),--('8. Transfers'!$J$9:$J$108="Matched"))+IF($O551="",0,COUNTIFS('9. Payroll Allocation'!$B$234:$B$253,$O551,'9. Payroll Allocation'!$H$234:$H$253,"Tied out"))&gt;0,"Linked","MISSING DETAIL")))</f>
        <v/>
      </c>
      <c r="T551" s="58" t="str">
        <f t="shared" si="79"/>
        <v/>
      </c>
      <c r="U551" s="59" t="str">
        <f>IF($T551="","",COUNTIF($T$6:$T551,"?*"))</f>
        <v/>
      </c>
      <c r="V551" s="58" t="str">
        <f t="shared" si="80"/>
        <v/>
      </c>
    </row>
    <row r="552" spans="1:22" ht="12.95" customHeight="1" x14ac:dyDescent="0.25">
      <c r="A552" s="52" t="str">
        <f t="shared" si="72"/>
        <v/>
      </c>
      <c r="B552" s="37"/>
      <c r="C552" s="28"/>
      <c r="D552" s="35"/>
      <c r="E552" s="38"/>
      <c r="F552" s="38"/>
      <c r="G552" s="52" t="str">
        <f t="shared" si="73"/>
        <v/>
      </c>
      <c r="H552" s="53" t="str">
        <f t="shared" si="74"/>
        <v/>
      </c>
      <c r="I552" s="40"/>
      <c r="J552" s="54" t="str">
        <f t="shared" si="75"/>
        <v/>
      </c>
      <c r="K552" s="41" t="str">
        <f t="shared" si="76"/>
        <v/>
      </c>
      <c r="L552" s="55"/>
      <c r="M552" s="56">
        <f t="shared" si="77"/>
        <v>0</v>
      </c>
      <c r="N552" s="56">
        <f t="shared" si="78"/>
        <v>0</v>
      </c>
      <c r="O552" s="57"/>
      <c r="P552" s="40"/>
      <c r="Q552" s="52" t="str">
        <f>IF($D552="","",IF($K552&lt;&gt;"Balance Sheet / Clearing","-",IF(SUMPRODUCT(--(LEFT('7. Settlements'!$J$8:$J$107,7)=$A552),--('7. Settlements'!$M$8:$M$107="Tied out"))+SUMPRODUCT(--(LEFT('8. Transfers'!$H$9:$H$108,7)=$A552),--('8. Transfers'!$J$9:$J$108="Matched"))+SUMPRODUCT(--(LEFT('8. Transfers'!$I$9:$I$108,7)=$A552),--('8. Transfers'!$J$9:$J$108="Matched"))+IF($O552="",0,COUNTIFS('9. Payroll Allocation'!$B$234:$B$253,$O552,'9. Payroll Allocation'!$H$234:$H$253,"Tied out"))&gt;0,"Linked","MISSING DETAIL")))</f>
        <v/>
      </c>
      <c r="T552" s="58" t="str">
        <f t="shared" si="79"/>
        <v/>
      </c>
      <c r="U552" s="59" t="str">
        <f>IF($T552="","",COUNTIF($T$6:$T552,"?*"))</f>
        <v/>
      </c>
      <c r="V552" s="58" t="str">
        <f t="shared" si="80"/>
        <v/>
      </c>
    </row>
    <row r="553" spans="1:22" ht="12.95" customHeight="1" x14ac:dyDescent="0.25">
      <c r="A553" s="60" t="str">
        <f t="shared" si="72"/>
        <v/>
      </c>
      <c r="B553" s="37"/>
      <c r="C553" s="28"/>
      <c r="D553" s="35"/>
      <c r="E553" s="38"/>
      <c r="F553" s="38"/>
      <c r="G553" s="60" t="str">
        <f t="shared" si="73"/>
        <v/>
      </c>
      <c r="H553" s="61" t="str">
        <f t="shared" si="74"/>
        <v/>
      </c>
      <c r="I553" s="40"/>
      <c r="J553" s="62" t="str">
        <f t="shared" si="75"/>
        <v/>
      </c>
      <c r="K553" s="45" t="str">
        <f t="shared" si="76"/>
        <v/>
      </c>
      <c r="L553" s="55"/>
      <c r="M553" s="63">
        <f t="shared" si="77"/>
        <v>0</v>
      </c>
      <c r="N553" s="63">
        <f t="shared" si="78"/>
        <v>0</v>
      </c>
      <c r="O553" s="57"/>
      <c r="P553" s="40"/>
      <c r="Q553" s="60" t="str">
        <f>IF($D553="","",IF($K553&lt;&gt;"Balance Sheet / Clearing","-",IF(SUMPRODUCT(--(LEFT('7. Settlements'!$J$8:$J$107,7)=$A553),--('7. Settlements'!$M$8:$M$107="Tied out"))+SUMPRODUCT(--(LEFT('8. Transfers'!$H$9:$H$108,7)=$A553),--('8. Transfers'!$J$9:$J$108="Matched"))+SUMPRODUCT(--(LEFT('8. Transfers'!$I$9:$I$108,7)=$A553),--('8. Transfers'!$J$9:$J$108="Matched"))+IF($O553="",0,COUNTIFS('9. Payroll Allocation'!$B$234:$B$253,$O553,'9. Payroll Allocation'!$H$234:$H$253,"Tied out"))&gt;0,"Linked","MISSING DETAIL")))</f>
        <v/>
      </c>
      <c r="T553" s="58" t="str">
        <f t="shared" si="79"/>
        <v/>
      </c>
      <c r="U553" s="59" t="str">
        <f>IF($T553="","",COUNTIF($T$6:$T553,"?*"))</f>
        <v/>
      </c>
      <c r="V553" s="58" t="str">
        <f t="shared" si="80"/>
        <v/>
      </c>
    </row>
    <row r="554" spans="1:22" ht="12.95" customHeight="1" x14ac:dyDescent="0.25">
      <c r="A554" s="52" t="str">
        <f t="shared" si="72"/>
        <v/>
      </c>
      <c r="B554" s="37"/>
      <c r="C554" s="28"/>
      <c r="D554" s="35"/>
      <c r="E554" s="38"/>
      <c r="F554" s="38"/>
      <c r="G554" s="52" t="str">
        <f t="shared" si="73"/>
        <v/>
      </c>
      <c r="H554" s="53" t="str">
        <f t="shared" si="74"/>
        <v/>
      </c>
      <c r="I554" s="40"/>
      <c r="J554" s="54" t="str">
        <f t="shared" si="75"/>
        <v/>
      </c>
      <c r="K554" s="41" t="str">
        <f t="shared" si="76"/>
        <v/>
      </c>
      <c r="L554" s="55"/>
      <c r="M554" s="56">
        <f t="shared" si="77"/>
        <v>0</v>
      </c>
      <c r="N554" s="56">
        <f t="shared" si="78"/>
        <v>0</v>
      </c>
      <c r="O554" s="57"/>
      <c r="P554" s="40"/>
      <c r="Q554" s="52" t="str">
        <f>IF($D554="","",IF($K554&lt;&gt;"Balance Sheet / Clearing","-",IF(SUMPRODUCT(--(LEFT('7. Settlements'!$J$8:$J$107,7)=$A554),--('7. Settlements'!$M$8:$M$107="Tied out"))+SUMPRODUCT(--(LEFT('8. Transfers'!$H$9:$H$108,7)=$A554),--('8. Transfers'!$J$9:$J$108="Matched"))+SUMPRODUCT(--(LEFT('8. Transfers'!$I$9:$I$108,7)=$A554),--('8. Transfers'!$J$9:$J$108="Matched"))+IF($O554="",0,COUNTIFS('9. Payroll Allocation'!$B$234:$B$253,$O554,'9. Payroll Allocation'!$H$234:$H$253,"Tied out"))&gt;0,"Linked","MISSING DETAIL")))</f>
        <v/>
      </c>
      <c r="T554" s="58" t="str">
        <f t="shared" si="79"/>
        <v/>
      </c>
      <c r="U554" s="59" t="str">
        <f>IF($T554="","",COUNTIF($T$6:$T554,"?*"))</f>
        <v/>
      </c>
      <c r="V554" s="58" t="str">
        <f t="shared" si="80"/>
        <v/>
      </c>
    </row>
    <row r="555" spans="1:22" ht="12.95" customHeight="1" x14ac:dyDescent="0.25">
      <c r="A555" s="60" t="str">
        <f t="shared" si="72"/>
        <v/>
      </c>
      <c r="B555" s="37"/>
      <c r="C555" s="28"/>
      <c r="D555" s="35"/>
      <c r="E555" s="38"/>
      <c r="F555" s="38"/>
      <c r="G555" s="60" t="str">
        <f t="shared" si="73"/>
        <v/>
      </c>
      <c r="H555" s="61" t="str">
        <f t="shared" si="74"/>
        <v/>
      </c>
      <c r="I555" s="40"/>
      <c r="J555" s="62" t="str">
        <f t="shared" si="75"/>
        <v/>
      </c>
      <c r="K555" s="45" t="str">
        <f t="shared" si="76"/>
        <v/>
      </c>
      <c r="L555" s="55"/>
      <c r="M555" s="63">
        <f t="shared" si="77"/>
        <v>0</v>
      </c>
      <c r="N555" s="63">
        <f t="shared" si="78"/>
        <v>0</v>
      </c>
      <c r="O555" s="57"/>
      <c r="P555" s="40"/>
      <c r="Q555" s="60" t="str">
        <f>IF($D555="","",IF($K555&lt;&gt;"Balance Sheet / Clearing","-",IF(SUMPRODUCT(--(LEFT('7. Settlements'!$J$8:$J$107,7)=$A555),--('7. Settlements'!$M$8:$M$107="Tied out"))+SUMPRODUCT(--(LEFT('8. Transfers'!$H$9:$H$108,7)=$A555),--('8. Transfers'!$J$9:$J$108="Matched"))+SUMPRODUCT(--(LEFT('8. Transfers'!$I$9:$I$108,7)=$A555),--('8. Transfers'!$J$9:$J$108="Matched"))+IF($O555="",0,COUNTIFS('9. Payroll Allocation'!$B$234:$B$253,$O555,'9. Payroll Allocation'!$H$234:$H$253,"Tied out"))&gt;0,"Linked","MISSING DETAIL")))</f>
        <v/>
      </c>
      <c r="T555" s="58" t="str">
        <f t="shared" si="79"/>
        <v/>
      </c>
      <c r="U555" s="59" t="str">
        <f>IF($T555="","",COUNTIF($T$6:$T555,"?*"))</f>
        <v/>
      </c>
      <c r="V555" s="58" t="str">
        <f t="shared" si="80"/>
        <v/>
      </c>
    </row>
    <row r="556" spans="1:22" ht="12.95" customHeight="1" x14ac:dyDescent="0.25">
      <c r="A556" s="52" t="str">
        <f t="shared" si="72"/>
        <v/>
      </c>
      <c r="B556" s="37"/>
      <c r="C556" s="28"/>
      <c r="D556" s="35"/>
      <c r="E556" s="38"/>
      <c r="F556" s="38"/>
      <c r="G556" s="52" t="str">
        <f t="shared" si="73"/>
        <v/>
      </c>
      <c r="H556" s="53" t="str">
        <f t="shared" si="74"/>
        <v/>
      </c>
      <c r="I556" s="40"/>
      <c r="J556" s="54" t="str">
        <f t="shared" si="75"/>
        <v/>
      </c>
      <c r="K556" s="41" t="str">
        <f t="shared" si="76"/>
        <v/>
      </c>
      <c r="L556" s="55"/>
      <c r="M556" s="56">
        <f t="shared" si="77"/>
        <v>0</v>
      </c>
      <c r="N556" s="56">
        <f t="shared" si="78"/>
        <v>0</v>
      </c>
      <c r="O556" s="57"/>
      <c r="P556" s="40"/>
      <c r="Q556" s="52" t="str">
        <f>IF($D556="","",IF($K556&lt;&gt;"Balance Sheet / Clearing","-",IF(SUMPRODUCT(--(LEFT('7. Settlements'!$J$8:$J$107,7)=$A556),--('7. Settlements'!$M$8:$M$107="Tied out"))+SUMPRODUCT(--(LEFT('8. Transfers'!$H$9:$H$108,7)=$A556),--('8. Transfers'!$J$9:$J$108="Matched"))+SUMPRODUCT(--(LEFT('8. Transfers'!$I$9:$I$108,7)=$A556),--('8. Transfers'!$J$9:$J$108="Matched"))+IF($O556="",0,COUNTIFS('9. Payroll Allocation'!$B$234:$B$253,$O556,'9. Payroll Allocation'!$H$234:$H$253,"Tied out"))&gt;0,"Linked","MISSING DETAIL")))</f>
        <v/>
      </c>
      <c r="T556" s="58" t="str">
        <f t="shared" si="79"/>
        <v/>
      </c>
      <c r="U556" s="59" t="str">
        <f>IF($T556="","",COUNTIF($T$6:$T556,"?*"))</f>
        <v/>
      </c>
      <c r="V556" s="58" t="str">
        <f t="shared" si="80"/>
        <v/>
      </c>
    </row>
    <row r="557" spans="1:22" ht="12.95" customHeight="1" x14ac:dyDescent="0.25">
      <c r="A557" s="60" t="str">
        <f t="shared" si="72"/>
        <v/>
      </c>
      <c r="B557" s="37"/>
      <c r="C557" s="28"/>
      <c r="D557" s="35"/>
      <c r="E557" s="38"/>
      <c r="F557" s="38"/>
      <c r="G557" s="60" t="str">
        <f t="shared" si="73"/>
        <v/>
      </c>
      <c r="H557" s="61" t="str">
        <f t="shared" si="74"/>
        <v/>
      </c>
      <c r="I557" s="40"/>
      <c r="J557" s="62" t="str">
        <f t="shared" si="75"/>
        <v/>
      </c>
      <c r="K557" s="45" t="str">
        <f t="shared" si="76"/>
        <v/>
      </c>
      <c r="L557" s="55"/>
      <c r="M557" s="63">
        <f t="shared" si="77"/>
        <v>0</v>
      </c>
      <c r="N557" s="63">
        <f t="shared" si="78"/>
        <v>0</v>
      </c>
      <c r="O557" s="57"/>
      <c r="P557" s="40"/>
      <c r="Q557" s="60" t="str">
        <f>IF($D557="","",IF($K557&lt;&gt;"Balance Sheet / Clearing","-",IF(SUMPRODUCT(--(LEFT('7. Settlements'!$J$8:$J$107,7)=$A557),--('7. Settlements'!$M$8:$M$107="Tied out"))+SUMPRODUCT(--(LEFT('8. Transfers'!$H$9:$H$108,7)=$A557),--('8. Transfers'!$J$9:$J$108="Matched"))+SUMPRODUCT(--(LEFT('8. Transfers'!$I$9:$I$108,7)=$A557),--('8. Transfers'!$J$9:$J$108="Matched"))+IF($O557="",0,COUNTIFS('9. Payroll Allocation'!$B$234:$B$253,$O557,'9. Payroll Allocation'!$H$234:$H$253,"Tied out"))&gt;0,"Linked","MISSING DETAIL")))</f>
        <v/>
      </c>
      <c r="T557" s="58" t="str">
        <f t="shared" si="79"/>
        <v/>
      </c>
      <c r="U557" s="59" t="str">
        <f>IF($T557="","",COUNTIF($T$6:$T557,"?*"))</f>
        <v/>
      </c>
      <c r="V557" s="58" t="str">
        <f t="shared" si="80"/>
        <v/>
      </c>
    </row>
    <row r="558" spans="1:22" ht="12.95" customHeight="1" x14ac:dyDescent="0.25">
      <c r="A558" s="52" t="str">
        <f t="shared" si="72"/>
        <v/>
      </c>
      <c r="B558" s="37"/>
      <c r="C558" s="28"/>
      <c r="D558" s="35"/>
      <c r="E558" s="38"/>
      <c r="F558" s="38"/>
      <c r="G558" s="52" t="str">
        <f t="shared" si="73"/>
        <v/>
      </c>
      <c r="H558" s="53" t="str">
        <f t="shared" si="74"/>
        <v/>
      </c>
      <c r="I558" s="40"/>
      <c r="J558" s="54" t="str">
        <f t="shared" si="75"/>
        <v/>
      </c>
      <c r="K558" s="41" t="str">
        <f t="shared" si="76"/>
        <v/>
      </c>
      <c r="L558" s="55"/>
      <c r="M558" s="56">
        <f t="shared" si="77"/>
        <v>0</v>
      </c>
      <c r="N558" s="56">
        <f t="shared" si="78"/>
        <v>0</v>
      </c>
      <c r="O558" s="57"/>
      <c r="P558" s="40"/>
      <c r="Q558" s="52" t="str">
        <f>IF($D558="","",IF($K558&lt;&gt;"Balance Sheet / Clearing","-",IF(SUMPRODUCT(--(LEFT('7. Settlements'!$J$8:$J$107,7)=$A558),--('7. Settlements'!$M$8:$M$107="Tied out"))+SUMPRODUCT(--(LEFT('8. Transfers'!$H$9:$H$108,7)=$A558),--('8. Transfers'!$J$9:$J$108="Matched"))+SUMPRODUCT(--(LEFT('8. Transfers'!$I$9:$I$108,7)=$A558),--('8. Transfers'!$J$9:$J$108="Matched"))+IF($O558="",0,COUNTIFS('9. Payroll Allocation'!$B$234:$B$253,$O558,'9. Payroll Allocation'!$H$234:$H$253,"Tied out"))&gt;0,"Linked","MISSING DETAIL")))</f>
        <v/>
      </c>
      <c r="T558" s="58" t="str">
        <f t="shared" si="79"/>
        <v/>
      </c>
      <c r="U558" s="59" t="str">
        <f>IF($T558="","",COUNTIF($T$6:$T558,"?*"))</f>
        <v/>
      </c>
      <c r="V558" s="58" t="str">
        <f t="shared" si="80"/>
        <v/>
      </c>
    </row>
    <row r="559" spans="1:22" ht="12.95" customHeight="1" x14ac:dyDescent="0.25">
      <c r="A559" s="60" t="str">
        <f t="shared" si="72"/>
        <v/>
      </c>
      <c r="B559" s="37"/>
      <c r="C559" s="28"/>
      <c r="D559" s="35"/>
      <c r="E559" s="38"/>
      <c r="F559" s="38"/>
      <c r="G559" s="60" t="str">
        <f t="shared" si="73"/>
        <v/>
      </c>
      <c r="H559" s="61" t="str">
        <f t="shared" si="74"/>
        <v/>
      </c>
      <c r="I559" s="40"/>
      <c r="J559" s="62" t="str">
        <f t="shared" si="75"/>
        <v/>
      </c>
      <c r="K559" s="45" t="str">
        <f t="shared" si="76"/>
        <v/>
      </c>
      <c r="L559" s="55"/>
      <c r="M559" s="63">
        <f t="shared" si="77"/>
        <v>0</v>
      </c>
      <c r="N559" s="63">
        <f t="shared" si="78"/>
        <v>0</v>
      </c>
      <c r="O559" s="57"/>
      <c r="P559" s="40"/>
      <c r="Q559" s="60" t="str">
        <f>IF($D559="","",IF($K559&lt;&gt;"Balance Sheet / Clearing","-",IF(SUMPRODUCT(--(LEFT('7. Settlements'!$J$8:$J$107,7)=$A559),--('7. Settlements'!$M$8:$M$107="Tied out"))+SUMPRODUCT(--(LEFT('8. Transfers'!$H$9:$H$108,7)=$A559),--('8. Transfers'!$J$9:$J$108="Matched"))+SUMPRODUCT(--(LEFT('8. Transfers'!$I$9:$I$108,7)=$A559),--('8. Transfers'!$J$9:$J$108="Matched"))+IF($O559="",0,COUNTIFS('9. Payroll Allocation'!$B$234:$B$253,$O559,'9. Payroll Allocation'!$H$234:$H$253,"Tied out"))&gt;0,"Linked","MISSING DETAIL")))</f>
        <v/>
      </c>
      <c r="T559" s="58" t="str">
        <f t="shared" si="79"/>
        <v/>
      </c>
      <c r="U559" s="59" t="str">
        <f>IF($T559="","",COUNTIF($T$6:$T559,"?*"))</f>
        <v/>
      </c>
      <c r="V559" s="58" t="str">
        <f t="shared" si="80"/>
        <v/>
      </c>
    </row>
    <row r="560" spans="1:22" ht="12.95" customHeight="1" x14ac:dyDescent="0.25">
      <c r="A560" s="52" t="str">
        <f t="shared" si="72"/>
        <v/>
      </c>
      <c r="B560" s="37"/>
      <c r="C560" s="28"/>
      <c r="D560" s="35"/>
      <c r="E560" s="38"/>
      <c r="F560" s="38"/>
      <c r="G560" s="52" t="str">
        <f t="shared" si="73"/>
        <v/>
      </c>
      <c r="H560" s="53" t="str">
        <f t="shared" si="74"/>
        <v/>
      </c>
      <c r="I560" s="40"/>
      <c r="J560" s="54" t="str">
        <f t="shared" si="75"/>
        <v/>
      </c>
      <c r="K560" s="41" t="str">
        <f t="shared" si="76"/>
        <v/>
      </c>
      <c r="L560" s="55"/>
      <c r="M560" s="56">
        <f t="shared" si="77"/>
        <v>0</v>
      </c>
      <c r="N560" s="56">
        <f t="shared" si="78"/>
        <v>0</v>
      </c>
      <c r="O560" s="57"/>
      <c r="P560" s="40"/>
      <c r="Q560" s="52" t="str">
        <f>IF($D560="","",IF($K560&lt;&gt;"Balance Sheet / Clearing","-",IF(SUMPRODUCT(--(LEFT('7. Settlements'!$J$8:$J$107,7)=$A560),--('7. Settlements'!$M$8:$M$107="Tied out"))+SUMPRODUCT(--(LEFT('8. Transfers'!$H$9:$H$108,7)=$A560),--('8. Transfers'!$J$9:$J$108="Matched"))+SUMPRODUCT(--(LEFT('8. Transfers'!$I$9:$I$108,7)=$A560),--('8. Transfers'!$J$9:$J$108="Matched"))+IF($O560="",0,COUNTIFS('9. Payroll Allocation'!$B$234:$B$253,$O560,'9. Payroll Allocation'!$H$234:$H$253,"Tied out"))&gt;0,"Linked","MISSING DETAIL")))</f>
        <v/>
      </c>
      <c r="T560" s="58" t="str">
        <f t="shared" si="79"/>
        <v/>
      </c>
      <c r="U560" s="59" t="str">
        <f>IF($T560="","",COUNTIF($T$6:$T560,"?*"))</f>
        <v/>
      </c>
      <c r="V560" s="58" t="str">
        <f t="shared" si="80"/>
        <v/>
      </c>
    </row>
    <row r="561" spans="1:22" ht="12.95" customHeight="1" x14ac:dyDescent="0.25">
      <c r="A561" s="60" t="str">
        <f t="shared" si="72"/>
        <v/>
      </c>
      <c r="B561" s="37"/>
      <c r="C561" s="28"/>
      <c r="D561" s="35"/>
      <c r="E561" s="38"/>
      <c r="F561" s="38"/>
      <c r="G561" s="60" t="str">
        <f t="shared" si="73"/>
        <v/>
      </c>
      <c r="H561" s="61" t="str">
        <f t="shared" si="74"/>
        <v/>
      </c>
      <c r="I561" s="40"/>
      <c r="J561" s="62" t="str">
        <f t="shared" si="75"/>
        <v/>
      </c>
      <c r="K561" s="45" t="str">
        <f t="shared" si="76"/>
        <v/>
      </c>
      <c r="L561" s="55"/>
      <c r="M561" s="63">
        <f t="shared" si="77"/>
        <v>0</v>
      </c>
      <c r="N561" s="63">
        <f t="shared" si="78"/>
        <v>0</v>
      </c>
      <c r="O561" s="57"/>
      <c r="P561" s="40"/>
      <c r="Q561" s="60" t="str">
        <f>IF($D561="","",IF($K561&lt;&gt;"Balance Sheet / Clearing","-",IF(SUMPRODUCT(--(LEFT('7. Settlements'!$J$8:$J$107,7)=$A561),--('7. Settlements'!$M$8:$M$107="Tied out"))+SUMPRODUCT(--(LEFT('8. Transfers'!$H$9:$H$108,7)=$A561),--('8. Transfers'!$J$9:$J$108="Matched"))+SUMPRODUCT(--(LEFT('8. Transfers'!$I$9:$I$108,7)=$A561),--('8. Transfers'!$J$9:$J$108="Matched"))+IF($O561="",0,COUNTIFS('9. Payroll Allocation'!$B$234:$B$253,$O561,'9. Payroll Allocation'!$H$234:$H$253,"Tied out"))&gt;0,"Linked","MISSING DETAIL")))</f>
        <v/>
      </c>
      <c r="T561" s="58" t="str">
        <f t="shared" si="79"/>
        <v/>
      </c>
      <c r="U561" s="59" t="str">
        <f>IF($T561="","",COUNTIF($T$6:$T561,"?*"))</f>
        <v/>
      </c>
      <c r="V561" s="58" t="str">
        <f t="shared" si="80"/>
        <v/>
      </c>
    </row>
    <row r="562" spans="1:22" ht="12.95" customHeight="1" x14ac:dyDescent="0.25">
      <c r="A562" s="52" t="str">
        <f t="shared" si="72"/>
        <v/>
      </c>
      <c r="B562" s="37"/>
      <c r="C562" s="28"/>
      <c r="D562" s="35"/>
      <c r="E562" s="38"/>
      <c r="F562" s="38"/>
      <c r="G562" s="52" t="str">
        <f t="shared" si="73"/>
        <v/>
      </c>
      <c r="H562" s="53" t="str">
        <f t="shared" si="74"/>
        <v/>
      </c>
      <c r="I562" s="40"/>
      <c r="J562" s="54" t="str">
        <f t="shared" si="75"/>
        <v/>
      </c>
      <c r="K562" s="41" t="str">
        <f t="shared" si="76"/>
        <v/>
      </c>
      <c r="L562" s="55"/>
      <c r="M562" s="56">
        <f t="shared" si="77"/>
        <v>0</v>
      </c>
      <c r="N562" s="56">
        <f t="shared" si="78"/>
        <v>0</v>
      </c>
      <c r="O562" s="57"/>
      <c r="P562" s="40"/>
      <c r="Q562" s="52" t="str">
        <f>IF($D562="","",IF($K562&lt;&gt;"Balance Sheet / Clearing","-",IF(SUMPRODUCT(--(LEFT('7. Settlements'!$J$8:$J$107,7)=$A562),--('7. Settlements'!$M$8:$M$107="Tied out"))+SUMPRODUCT(--(LEFT('8. Transfers'!$H$9:$H$108,7)=$A562),--('8. Transfers'!$J$9:$J$108="Matched"))+SUMPRODUCT(--(LEFT('8. Transfers'!$I$9:$I$108,7)=$A562),--('8. Transfers'!$J$9:$J$108="Matched"))+IF($O562="",0,COUNTIFS('9. Payroll Allocation'!$B$234:$B$253,$O562,'9. Payroll Allocation'!$H$234:$H$253,"Tied out"))&gt;0,"Linked","MISSING DETAIL")))</f>
        <v/>
      </c>
      <c r="T562" s="58" t="str">
        <f t="shared" si="79"/>
        <v/>
      </c>
      <c r="U562" s="59" t="str">
        <f>IF($T562="","",COUNTIF($T$6:$T562,"?*"))</f>
        <v/>
      </c>
      <c r="V562" s="58" t="str">
        <f t="shared" si="80"/>
        <v/>
      </c>
    </row>
    <row r="563" spans="1:22" ht="12.95" customHeight="1" x14ac:dyDescent="0.25">
      <c r="A563" s="60" t="str">
        <f t="shared" si="72"/>
        <v/>
      </c>
      <c r="B563" s="37"/>
      <c r="C563" s="28"/>
      <c r="D563" s="35"/>
      <c r="E563" s="38"/>
      <c r="F563" s="38"/>
      <c r="G563" s="60" t="str">
        <f t="shared" si="73"/>
        <v/>
      </c>
      <c r="H563" s="61" t="str">
        <f t="shared" si="74"/>
        <v/>
      </c>
      <c r="I563" s="40"/>
      <c r="J563" s="62" t="str">
        <f t="shared" si="75"/>
        <v/>
      </c>
      <c r="K563" s="45" t="str">
        <f t="shared" si="76"/>
        <v/>
      </c>
      <c r="L563" s="55"/>
      <c r="M563" s="63">
        <f t="shared" si="77"/>
        <v>0</v>
      </c>
      <c r="N563" s="63">
        <f t="shared" si="78"/>
        <v>0</v>
      </c>
      <c r="O563" s="57"/>
      <c r="P563" s="40"/>
      <c r="Q563" s="60" t="str">
        <f>IF($D563="","",IF($K563&lt;&gt;"Balance Sheet / Clearing","-",IF(SUMPRODUCT(--(LEFT('7. Settlements'!$J$8:$J$107,7)=$A563),--('7. Settlements'!$M$8:$M$107="Tied out"))+SUMPRODUCT(--(LEFT('8. Transfers'!$H$9:$H$108,7)=$A563),--('8. Transfers'!$J$9:$J$108="Matched"))+SUMPRODUCT(--(LEFT('8. Transfers'!$I$9:$I$108,7)=$A563),--('8. Transfers'!$J$9:$J$108="Matched"))+IF($O563="",0,COUNTIFS('9. Payroll Allocation'!$B$234:$B$253,$O563,'9. Payroll Allocation'!$H$234:$H$253,"Tied out"))&gt;0,"Linked","MISSING DETAIL")))</f>
        <v/>
      </c>
      <c r="T563" s="58" t="str">
        <f t="shared" si="79"/>
        <v/>
      </c>
      <c r="U563" s="59" t="str">
        <f>IF($T563="","",COUNTIF($T$6:$T563,"?*"))</f>
        <v/>
      </c>
      <c r="V563" s="58" t="str">
        <f t="shared" si="80"/>
        <v/>
      </c>
    </row>
    <row r="564" spans="1:22" ht="12.95" customHeight="1" x14ac:dyDescent="0.25">
      <c r="A564" s="52" t="str">
        <f t="shared" si="72"/>
        <v/>
      </c>
      <c r="B564" s="37"/>
      <c r="C564" s="28"/>
      <c r="D564" s="35"/>
      <c r="E564" s="38"/>
      <c r="F564" s="38"/>
      <c r="G564" s="52" t="str">
        <f t="shared" si="73"/>
        <v/>
      </c>
      <c r="H564" s="53" t="str">
        <f t="shared" si="74"/>
        <v/>
      </c>
      <c r="I564" s="40"/>
      <c r="J564" s="54" t="str">
        <f t="shared" si="75"/>
        <v/>
      </c>
      <c r="K564" s="41" t="str">
        <f t="shared" si="76"/>
        <v/>
      </c>
      <c r="L564" s="55"/>
      <c r="M564" s="56">
        <f t="shared" si="77"/>
        <v>0</v>
      </c>
      <c r="N564" s="56">
        <f t="shared" si="78"/>
        <v>0</v>
      </c>
      <c r="O564" s="57"/>
      <c r="P564" s="40"/>
      <c r="Q564" s="52" t="str">
        <f>IF($D564="","",IF($K564&lt;&gt;"Balance Sheet / Clearing","-",IF(SUMPRODUCT(--(LEFT('7. Settlements'!$J$8:$J$107,7)=$A564),--('7. Settlements'!$M$8:$M$107="Tied out"))+SUMPRODUCT(--(LEFT('8. Transfers'!$H$9:$H$108,7)=$A564),--('8. Transfers'!$J$9:$J$108="Matched"))+SUMPRODUCT(--(LEFT('8. Transfers'!$I$9:$I$108,7)=$A564),--('8. Transfers'!$J$9:$J$108="Matched"))+IF($O564="",0,COUNTIFS('9. Payroll Allocation'!$B$234:$B$253,$O564,'9. Payroll Allocation'!$H$234:$H$253,"Tied out"))&gt;0,"Linked","MISSING DETAIL")))</f>
        <v/>
      </c>
      <c r="T564" s="58" t="str">
        <f t="shared" si="79"/>
        <v/>
      </c>
      <c r="U564" s="59" t="str">
        <f>IF($T564="","",COUNTIF($T$6:$T564,"?*"))</f>
        <v/>
      </c>
      <c r="V564" s="58" t="str">
        <f t="shared" si="80"/>
        <v/>
      </c>
    </row>
    <row r="565" spans="1:22" ht="12.95" customHeight="1" x14ac:dyDescent="0.25">
      <c r="A565" s="60" t="str">
        <f t="shared" si="72"/>
        <v/>
      </c>
      <c r="B565" s="37"/>
      <c r="C565" s="28"/>
      <c r="D565" s="35"/>
      <c r="E565" s="38"/>
      <c r="F565" s="38"/>
      <c r="G565" s="60" t="str">
        <f t="shared" si="73"/>
        <v/>
      </c>
      <c r="H565" s="61" t="str">
        <f t="shared" si="74"/>
        <v/>
      </c>
      <c r="I565" s="40"/>
      <c r="J565" s="62" t="str">
        <f t="shared" si="75"/>
        <v/>
      </c>
      <c r="K565" s="45" t="str">
        <f t="shared" si="76"/>
        <v/>
      </c>
      <c r="L565" s="55"/>
      <c r="M565" s="63">
        <f t="shared" si="77"/>
        <v>0</v>
      </c>
      <c r="N565" s="63">
        <f t="shared" si="78"/>
        <v>0</v>
      </c>
      <c r="O565" s="57"/>
      <c r="P565" s="40"/>
      <c r="Q565" s="60" t="str">
        <f>IF($D565="","",IF($K565&lt;&gt;"Balance Sheet / Clearing","-",IF(SUMPRODUCT(--(LEFT('7. Settlements'!$J$8:$J$107,7)=$A565),--('7. Settlements'!$M$8:$M$107="Tied out"))+SUMPRODUCT(--(LEFT('8. Transfers'!$H$9:$H$108,7)=$A565),--('8. Transfers'!$J$9:$J$108="Matched"))+SUMPRODUCT(--(LEFT('8. Transfers'!$I$9:$I$108,7)=$A565),--('8. Transfers'!$J$9:$J$108="Matched"))+IF($O565="",0,COUNTIFS('9. Payroll Allocation'!$B$234:$B$253,$O565,'9. Payroll Allocation'!$H$234:$H$253,"Tied out"))&gt;0,"Linked","MISSING DETAIL")))</f>
        <v/>
      </c>
      <c r="T565" s="58" t="str">
        <f t="shared" si="79"/>
        <v/>
      </c>
      <c r="U565" s="59" t="str">
        <f>IF($T565="","",COUNTIF($T$6:$T565,"?*"))</f>
        <v/>
      </c>
      <c r="V565" s="58" t="str">
        <f t="shared" si="80"/>
        <v/>
      </c>
    </row>
    <row r="566" spans="1:22" ht="12.95" customHeight="1" x14ac:dyDescent="0.25">
      <c r="A566" s="52" t="str">
        <f t="shared" si="72"/>
        <v/>
      </c>
      <c r="B566" s="37"/>
      <c r="C566" s="28"/>
      <c r="D566" s="35"/>
      <c r="E566" s="38"/>
      <c r="F566" s="38"/>
      <c r="G566" s="52" t="str">
        <f t="shared" si="73"/>
        <v/>
      </c>
      <c r="H566" s="53" t="str">
        <f t="shared" si="74"/>
        <v/>
      </c>
      <c r="I566" s="40"/>
      <c r="J566" s="54" t="str">
        <f t="shared" si="75"/>
        <v/>
      </c>
      <c r="K566" s="41" t="str">
        <f t="shared" si="76"/>
        <v/>
      </c>
      <c r="L566" s="55"/>
      <c r="M566" s="56">
        <f t="shared" si="77"/>
        <v>0</v>
      </c>
      <c r="N566" s="56">
        <f t="shared" si="78"/>
        <v>0</v>
      </c>
      <c r="O566" s="57"/>
      <c r="P566" s="40"/>
      <c r="Q566" s="52" t="str">
        <f>IF($D566="","",IF($K566&lt;&gt;"Balance Sheet / Clearing","-",IF(SUMPRODUCT(--(LEFT('7. Settlements'!$J$8:$J$107,7)=$A566),--('7. Settlements'!$M$8:$M$107="Tied out"))+SUMPRODUCT(--(LEFT('8. Transfers'!$H$9:$H$108,7)=$A566),--('8. Transfers'!$J$9:$J$108="Matched"))+SUMPRODUCT(--(LEFT('8. Transfers'!$I$9:$I$108,7)=$A566),--('8. Transfers'!$J$9:$J$108="Matched"))+IF($O566="",0,COUNTIFS('9. Payroll Allocation'!$B$234:$B$253,$O566,'9. Payroll Allocation'!$H$234:$H$253,"Tied out"))&gt;0,"Linked","MISSING DETAIL")))</f>
        <v/>
      </c>
      <c r="T566" s="58" t="str">
        <f t="shared" si="79"/>
        <v/>
      </c>
      <c r="U566" s="59" t="str">
        <f>IF($T566="","",COUNTIF($T$6:$T566,"?*"))</f>
        <v/>
      </c>
      <c r="V566" s="58" t="str">
        <f t="shared" si="80"/>
        <v/>
      </c>
    </row>
    <row r="567" spans="1:22" ht="12.95" customHeight="1" x14ac:dyDescent="0.25">
      <c r="A567" s="60" t="str">
        <f t="shared" si="72"/>
        <v/>
      </c>
      <c r="B567" s="37"/>
      <c r="C567" s="28"/>
      <c r="D567" s="35"/>
      <c r="E567" s="38"/>
      <c r="F567" s="38"/>
      <c r="G567" s="60" t="str">
        <f t="shared" si="73"/>
        <v/>
      </c>
      <c r="H567" s="61" t="str">
        <f t="shared" si="74"/>
        <v/>
      </c>
      <c r="I567" s="40"/>
      <c r="J567" s="62" t="str">
        <f t="shared" si="75"/>
        <v/>
      </c>
      <c r="K567" s="45" t="str">
        <f t="shared" si="76"/>
        <v/>
      </c>
      <c r="L567" s="55"/>
      <c r="M567" s="63">
        <f t="shared" si="77"/>
        <v>0</v>
      </c>
      <c r="N567" s="63">
        <f t="shared" si="78"/>
        <v>0</v>
      </c>
      <c r="O567" s="57"/>
      <c r="P567" s="40"/>
      <c r="Q567" s="60" t="str">
        <f>IF($D567="","",IF($K567&lt;&gt;"Balance Sheet / Clearing","-",IF(SUMPRODUCT(--(LEFT('7. Settlements'!$J$8:$J$107,7)=$A567),--('7. Settlements'!$M$8:$M$107="Tied out"))+SUMPRODUCT(--(LEFT('8. Transfers'!$H$9:$H$108,7)=$A567),--('8. Transfers'!$J$9:$J$108="Matched"))+SUMPRODUCT(--(LEFT('8. Transfers'!$I$9:$I$108,7)=$A567),--('8. Transfers'!$J$9:$J$108="Matched"))+IF($O567="",0,COUNTIFS('9. Payroll Allocation'!$B$234:$B$253,$O567,'9. Payroll Allocation'!$H$234:$H$253,"Tied out"))&gt;0,"Linked","MISSING DETAIL")))</f>
        <v/>
      </c>
      <c r="T567" s="58" t="str">
        <f t="shared" si="79"/>
        <v/>
      </c>
      <c r="U567" s="59" t="str">
        <f>IF($T567="","",COUNTIF($T$6:$T567,"?*"))</f>
        <v/>
      </c>
      <c r="V567" s="58" t="str">
        <f t="shared" si="80"/>
        <v/>
      </c>
    </row>
    <row r="568" spans="1:22" ht="12.95" customHeight="1" x14ac:dyDescent="0.25">
      <c r="A568" s="52" t="str">
        <f t="shared" si="72"/>
        <v/>
      </c>
      <c r="B568" s="37"/>
      <c r="C568" s="28"/>
      <c r="D568" s="35"/>
      <c r="E568" s="38"/>
      <c r="F568" s="38"/>
      <c r="G568" s="52" t="str">
        <f t="shared" si="73"/>
        <v/>
      </c>
      <c r="H568" s="53" t="str">
        <f t="shared" si="74"/>
        <v/>
      </c>
      <c r="I568" s="40"/>
      <c r="J568" s="54" t="str">
        <f t="shared" si="75"/>
        <v/>
      </c>
      <c r="K568" s="41" t="str">
        <f t="shared" si="76"/>
        <v/>
      </c>
      <c r="L568" s="55"/>
      <c r="M568" s="56">
        <f t="shared" si="77"/>
        <v>0</v>
      </c>
      <c r="N568" s="56">
        <f t="shared" si="78"/>
        <v>0</v>
      </c>
      <c r="O568" s="57"/>
      <c r="P568" s="40"/>
      <c r="Q568" s="52" t="str">
        <f>IF($D568="","",IF($K568&lt;&gt;"Balance Sheet / Clearing","-",IF(SUMPRODUCT(--(LEFT('7. Settlements'!$J$8:$J$107,7)=$A568),--('7. Settlements'!$M$8:$M$107="Tied out"))+SUMPRODUCT(--(LEFT('8. Transfers'!$H$9:$H$108,7)=$A568),--('8. Transfers'!$J$9:$J$108="Matched"))+SUMPRODUCT(--(LEFT('8. Transfers'!$I$9:$I$108,7)=$A568),--('8. Transfers'!$J$9:$J$108="Matched"))+IF($O568="",0,COUNTIFS('9. Payroll Allocation'!$B$234:$B$253,$O568,'9. Payroll Allocation'!$H$234:$H$253,"Tied out"))&gt;0,"Linked","MISSING DETAIL")))</f>
        <v/>
      </c>
      <c r="T568" s="58" t="str">
        <f t="shared" si="79"/>
        <v/>
      </c>
      <c r="U568" s="59" t="str">
        <f>IF($T568="","",COUNTIF($T$6:$T568,"?*"))</f>
        <v/>
      </c>
      <c r="V568" s="58" t="str">
        <f t="shared" si="80"/>
        <v/>
      </c>
    </row>
    <row r="569" spans="1:22" ht="12.95" customHeight="1" x14ac:dyDescent="0.25">
      <c r="A569" s="60" t="str">
        <f t="shared" si="72"/>
        <v/>
      </c>
      <c r="B569" s="37"/>
      <c r="C569" s="28"/>
      <c r="D569" s="35"/>
      <c r="E569" s="38"/>
      <c r="F569" s="38"/>
      <c r="G569" s="60" t="str">
        <f t="shared" si="73"/>
        <v/>
      </c>
      <c r="H569" s="61" t="str">
        <f t="shared" si="74"/>
        <v/>
      </c>
      <c r="I569" s="40"/>
      <c r="J569" s="62" t="str">
        <f t="shared" si="75"/>
        <v/>
      </c>
      <c r="K569" s="45" t="str">
        <f t="shared" si="76"/>
        <v/>
      </c>
      <c r="L569" s="55"/>
      <c r="M569" s="63">
        <f t="shared" si="77"/>
        <v>0</v>
      </c>
      <c r="N569" s="63">
        <f t="shared" si="78"/>
        <v>0</v>
      </c>
      <c r="O569" s="57"/>
      <c r="P569" s="40"/>
      <c r="Q569" s="60" t="str">
        <f>IF($D569="","",IF($K569&lt;&gt;"Balance Sheet / Clearing","-",IF(SUMPRODUCT(--(LEFT('7. Settlements'!$J$8:$J$107,7)=$A569),--('7. Settlements'!$M$8:$M$107="Tied out"))+SUMPRODUCT(--(LEFT('8. Transfers'!$H$9:$H$108,7)=$A569),--('8. Transfers'!$J$9:$J$108="Matched"))+SUMPRODUCT(--(LEFT('8. Transfers'!$I$9:$I$108,7)=$A569),--('8. Transfers'!$J$9:$J$108="Matched"))+IF($O569="",0,COUNTIFS('9. Payroll Allocation'!$B$234:$B$253,$O569,'9. Payroll Allocation'!$H$234:$H$253,"Tied out"))&gt;0,"Linked","MISSING DETAIL")))</f>
        <v/>
      </c>
      <c r="T569" s="58" t="str">
        <f t="shared" si="79"/>
        <v/>
      </c>
      <c r="U569" s="59" t="str">
        <f>IF($T569="","",COUNTIF($T$6:$T569,"?*"))</f>
        <v/>
      </c>
      <c r="V569" s="58" t="str">
        <f t="shared" si="80"/>
        <v/>
      </c>
    </row>
    <row r="570" spans="1:22" ht="12.95" customHeight="1" x14ac:dyDescent="0.25">
      <c r="A570" s="52" t="str">
        <f t="shared" si="72"/>
        <v/>
      </c>
      <c r="B570" s="37"/>
      <c r="C570" s="28"/>
      <c r="D570" s="35"/>
      <c r="E570" s="38"/>
      <c r="F570" s="38"/>
      <c r="G570" s="52" t="str">
        <f t="shared" si="73"/>
        <v/>
      </c>
      <c r="H570" s="53" t="str">
        <f t="shared" si="74"/>
        <v/>
      </c>
      <c r="I570" s="40"/>
      <c r="J570" s="54" t="str">
        <f t="shared" si="75"/>
        <v/>
      </c>
      <c r="K570" s="41" t="str">
        <f t="shared" si="76"/>
        <v/>
      </c>
      <c r="L570" s="55"/>
      <c r="M570" s="56">
        <f t="shared" si="77"/>
        <v>0</v>
      </c>
      <c r="N570" s="56">
        <f t="shared" si="78"/>
        <v>0</v>
      </c>
      <c r="O570" s="57"/>
      <c r="P570" s="40"/>
      <c r="Q570" s="52" t="str">
        <f>IF($D570="","",IF($K570&lt;&gt;"Balance Sheet / Clearing","-",IF(SUMPRODUCT(--(LEFT('7. Settlements'!$J$8:$J$107,7)=$A570),--('7. Settlements'!$M$8:$M$107="Tied out"))+SUMPRODUCT(--(LEFT('8. Transfers'!$H$9:$H$108,7)=$A570),--('8. Transfers'!$J$9:$J$108="Matched"))+SUMPRODUCT(--(LEFT('8. Transfers'!$I$9:$I$108,7)=$A570),--('8. Transfers'!$J$9:$J$108="Matched"))+IF($O570="",0,COUNTIFS('9. Payroll Allocation'!$B$234:$B$253,$O570,'9. Payroll Allocation'!$H$234:$H$253,"Tied out"))&gt;0,"Linked","MISSING DETAIL")))</f>
        <v/>
      </c>
      <c r="T570" s="58" t="str">
        <f t="shared" si="79"/>
        <v/>
      </c>
      <c r="U570" s="59" t="str">
        <f>IF($T570="","",COUNTIF($T$6:$T570,"?*"))</f>
        <v/>
      </c>
      <c r="V570" s="58" t="str">
        <f t="shared" si="80"/>
        <v/>
      </c>
    </row>
    <row r="571" spans="1:22" ht="12.95" customHeight="1" x14ac:dyDescent="0.25">
      <c r="A571" s="60" t="str">
        <f t="shared" si="72"/>
        <v/>
      </c>
      <c r="B571" s="37"/>
      <c r="C571" s="28"/>
      <c r="D571" s="35"/>
      <c r="E571" s="38"/>
      <c r="F571" s="38"/>
      <c r="G571" s="60" t="str">
        <f t="shared" si="73"/>
        <v/>
      </c>
      <c r="H571" s="61" t="str">
        <f t="shared" si="74"/>
        <v/>
      </c>
      <c r="I571" s="40"/>
      <c r="J571" s="62" t="str">
        <f t="shared" si="75"/>
        <v/>
      </c>
      <c r="K571" s="45" t="str">
        <f t="shared" si="76"/>
        <v/>
      </c>
      <c r="L571" s="55"/>
      <c r="M571" s="63">
        <f t="shared" si="77"/>
        <v>0</v>
      </c>
      <c r="N571" s="63">
        <f t="shared" si="78"/>
        <v>0</v>
      </c>
      <c r="O571" s="57"/>
      <c r="P571" s="40"/>
      <c r="Q571" s="60" t="str">
        <f>IF($D571="","",IF($K571&lt;&gt;"Balance Sheet / Clearing","-",IF(SUMPRODUCT(--(LEFT('7. Settlements'!$J$8:$J$107,7)=$A571),--('7. Settlements'!$M$8:$M$107="Tied out"))+SUMPRODUCT(--(LEFT('8. Transfers'!$H$9:$H$108,7)=$A571),--('8. Transfers'!$J$9:$J$108="Matched"))+SUMPRODUCT(--(LEFT('8. Transfers'!$I$9:$I$108,7)=$A571),--('8. Transfers'!$J$9:$J$108="Matched"))+IF($O571="",0,COUNTIFS('9. Payroll Allocation'!$B$234:$B$253,$O571,'9. Payroll Allocation'!$H$234:$H$253,"Tied out"))&gt;0,"Linked","MISSING DETAIL")))</f>
        <v/>
      </c>
      <c r="T571" s="58" t="str">
        <f t="shared" si="79"/>
        <v/>
      </c>
      <c r="U571" s="59" t="str">
        <f>IF($T571="","",COUNTIF($T$6:$T571,"?*"))</f>
        <v/>
      </c>
      <c r="V571" s="58" t="str">
        <f t="shared" si="80"/>
        <v/>
      </c>
    </row>
    <row r="572" spans="1:22" ht="12.95" customHeight="1" x14ac:dyDescent="0.25">
      <c r="A572" s="52" t="str">
        <f t="shared" si="72"/>
        <v/>
      </c>
      <c r="B572" s="37"/>
      <c r="C572" s="28"/>
      <c r="D572" s="35"/>
      <c r="E572" s="38"/>
      <c r="F572" s="38"/>
      <c r="G572" s="52" t="str">
        <f t="shared" si="73"/>
        <v/>
      </c>
      <c r="H572" s="53" t="str">
        <f t="shared" si="74"/>
        <v/>
      </c>
      <c r="I572" s="40"/>
      <c r="J572" s="54" t="str">
        <f t="shared" si="75"/>
        <v/>
      </c>
      <c r="K572" s="41" t="str">
        <f t="shared" si="76"/>
        <v/>
      </c>
      <c r="L572" s="55"/>
      <c r="M572" s="56">
        <f t="shared" si="77"/>
        <v>0</v>
      </c>
      <c r="N572" s="56">
        <f t="shared" si="78"/>
        <v>0</v>
      </c>
      <c r="O572" s="57"/>
      <c r="P572" s="40"/>
      <c r="Q572" s="52" t="str">
        <f>IF($D572="","",IF($K572&lt;&gt;"Balance Sheet / Clearing","-",IF(SUMPRODUCT(--(LEFT('7. Settlements'!$J$8:$J$107,7)=$A572),--('7. Settlements'!$M$8:$M$107="Tied out"))+SUMPRODUCT(--(LEFT('8. Transfers'!$H$9:$H$108,7)=$A572),--('8. Transfers'!$J$9:$J$108="Matched"))+SUMPRODUCT(--(LEFT('8. Transfers'!$I$9:$I$108,7)=$A572),--('8. Transfers'!$J$9:$J$108="Matched"))+IF($O572="",0,COUNTIFS('9. Payroll Allocation'!$B$234:$B$253,$O572,'9. Payroll Allocation'!$H$234:$H$253,"Tied out"))&gt;0,"Linked","MISSING DETAIL")))</f>
        <v/>
      </c>
      <c r="T572" s="58" t="str">
        <f t="shared" si="79"/>
        <v/>
      </c>
      <c r="U572" s="59" t="str">
        <f>IF($T572="","",COUNTIF($T$6:$T572,"?*"))</f>
        <v/>
      </c>
      <c r="V572" s="58" t="str">
        <f t="shared" si="80"/>
        <v/>
      </c>
    </row>
    <row r="573" spans="1:22" ht="12.95" customHeight="1" x14ac:dyDescent="0.25">
      <c r="A573" s="60" t="str">
        <f t="shared" si="72"/>
        <v/>
      </c>
      <c r="B573" s="37"/>
      <c r="C573" s="28"/>
      <c r="D573" s="35"/>
      <c r="E573" s="38"/>
      <c r="F573" s="38"/>
      <c r="G573" s="60" t="str">
        <f t="shared" si="73"/>
        <v/>
      </c>
      <c r="H573" s="61" t="str">
        <f t="shared" si="74"/>
        <v/>
      </c>
      <c r="I573" s="40"/>
      <c r="J573" s="62" t="str">
        <f t="shared" si="75"/>
        <v/>
      </c>
      <c r="K573" s="45" t="str">
        <f t="shared" si="76"/>
        <v/>
      </c>
      <c r="L573" s="55"/>
      <c r="M573" s="63">
        <f t="shared" si="77"/>
        <v>0</v>
      </c>
      <c r="N573" s="63">
        <f t="shared" si="78"/>
        <v>0</v>
      </c>
      <c r="O573" s="57"/>
      <c r="P573" s="40"/>
      <c r="Q573" s="60" t="str">
        <f>IF($D573="","",IF($K573&lt;&gt;"Balance Sheet / Clearing","-",IF(SUMPRODUCT(--(LEFT('7. Settlements'!$J$8:$J$107,7)=$A573),--('7. Settlements'!$M$8:$M$107="Tied out"))+SUMPRODUCT(--(LEFT('8. Transfers'!$H$9:$H$108,7)=$A573),--('8. Transfers'!$J$9:$J$108="Matched"))+SUMPRODUCT(--(LEFT('8. Transfers'!$I$9:$I$108,7)=$A573),--('8. Transfers'!$J$9:$J$108="Matched"))+IF($O573="",0,COUNTIFS('9. Payroll Allocation'!$B$234:$B$253,$O573,'9. Payroll Allocation'!$H$234:$H$253,"Tied out"))&gt;0,"Linked","MISSING DETAIL")))</f>
        <v/>
      </c>
      <c r="T573" s="58" t="str">
        <f t="shared" si="79"/>
        <v/>
      </c>
      <c r="U573" s="59" t="str">
        <f>IF($T573="","",COUNTIF($T$6:$T573,"?*"))</f>
        <v/>
      </c>
      <c r="V573" s="58" t="str">
        <f t="shared" si="80"/>
        <v/>
      </c>
    </row>
    <row r="574" spans="1:22" ht="12.95" customHeight="1" x14ac:dyDescent="0.25">
      <c r="A574" s="52" t="str">
        <f t="shared" si="72"/>
        <v/>
      </c>
      <c r="B574" s="37"/>
      <c r="C574" s="28"/>
      <c r="D574" s="35"/>
      <c r="E574" s="38"/>
      <c r="F574" s="38"/>
      <c r="G574" s="52" t="str">
        <f t="shared" si="73"/>
        <v/>
      </c>
      <c r="H574" s="53" t="str">
        <f t="shared" si="74"/>
        <v/>
      </c>
      <c r="I574" s="40"/>
      <c r="J574" s="54" t="str">
        <f t="shared" si="75"/>
        <v/>
      </c>
      <c r="K574" s="41" t="str">
        <f t="shared" si="76"/>
        <v/>
      </c>
      <c r="L574" s="55"/>
      <c r="M574" s="56">
        <f t="shared" si="77"/>
        <v>0</v>
      </c>
      <c r="N574" s="56">
        <f t="shared" si="78"/>
        <v>0</v>
      </c>
      <c r="O574" s="57"/>
      <c r="P574" s="40"/>
      <c r="Q574" s="52" t="str">
        <f>IF($D574="","",IF($K574&lt;&gt;"Balance Sheet / Clearing","-",IF(SUMPRODUCT(--(LEFT('7. Settlements'!$J$8:$J$107,7)=$A574),--('7. Settlements'!$M$8:$M$107="Tied out"))+SUMPRODUCT(--(LEFT('8. Transfers'!$H$9:$H$108,7)=$A574),--('8. Transfers'!$J$9:$J$108="Matched"))+SUMPRODUCT(--(LEFT('8. Transfers'!$I$9:$I$108,7)=$A574),--('8. Transfers'!$J$9:$J$108="Matched"))+IF($O574="",0,COUNTIFS('9. Payroll Allocation'!$B$234:$B$253,$O574,'9. Payroll Allocation'!$H$234:$H$253,"Tied out"))&gt;0,"Linked","MISSING DETAIL")))</f>
        <v/>
      </c>
      <c r="T574" s="58" t="str">
        <f t="shared" si="79"/>
        <v/>
      </c>
      <c r="U574" s="59" t="str">
        <f>IF($T574="","",COUNTIF($T$6:$T574,"?*"))</f>
        <v/>
      </c>
      <c r="V574" s="58" t="str">
        <f t="shared" si="80"/>
        <v/>
      </c>
    </row>
    <row r="575" spans="1:22" ht="12.95" customHeight="1" x14ac:dyDescent="0.25">
      <c r="A575" s="60" t="str">
        <f t="shared" si="72"/>
        <v/>
      </c>
      <c r="B575" s="37"/>
      <c r="C575" s="28"/>
      <c r="D575" s="35"/>
      <c r="E575" s="38"/>
      <c r="F575" s="38"/>
      <c r="G575" s="60" t="str">
        <f t="shared" si="73"/>
        <v/>
      </c>
      <c r="H575" s="61" t="str">
        <f t="shared" si="74"/>
        <v/>
      </c>
      <c r="I575" s="40"/>
      <c r="J575" s="62" t="str">
        <f t="shared" si="75"/>
        <v/>
      </c>
      <c r="K575" s="45" t="str">
        <f t="shared" si="76"/>
        <v/>
      </c>
      <c r="L575" s="55"/>
      <c r="M575" s="63">
        <f t="shared" si="77"/>
        <v>0</v>
      </c>
      <c r="N575" s="63">
        <f t="shared" si="78"/>
        <v>0</v>
      </c>
      <c r="O575" s="57"/>
      <c r="P575" s="40"/>
      <c r="Q575" s="60" t="str">
        <f>IF($D575="","",IF($K575&lt;&gt;"Balance Sheet / Clearing","-",IF(SUMPRODUCT(--(LEFT('7. Settlements'!$J$8:$J$107,7)=$A575),--('7. Settlements'!$M$8:$M$107="Tied out"))+SUMPRODUCT(--(LEFT('8. Transfers'!$H$9:$H$108,7)=$A575),--('8. Transfers'!$J$9:$J$108="Matched"))+SUMPRODUCT(--(LEFT('8. Transfers'!$I$9:$I$108,7)=$A575),--('8. Transfers'!$J$9:$J$108="Matched"))+IF($O575="",0,COUNTIFS('9. Payroll Allocation'!$B$234:$B$253,$O575,'9. Payroll Allocation'!$H$234:$H$253,"Tied out"))&gt;0,"Linked","MISSING DETAIL")))</f>
        <v/>
      </c>
      <c r="T575" s="58" t="str">
        <f t="shared" si="79"/>
        <v/>
      </c>
      <c r="U575" s="59" t="str">
        <f>IF($T575="","",COUNTIF($T$6:$T575,"?*"))</f>
        <v/>
      </c>
      <c r="V575" s="58" t="str">
        <f t="shared" si="80"/>
        <v/>
      </c>
    </row>
    <row r="576" spans="1:22" ht="12.95" customHeight="1" x14ac:dyDescent="0.25">
      <c r="A576" s="52" t="str">
        <f t="shared" si="72"/>
        <v/>
      </c>
      <c r="B576" s="37"/>
      <c r="C576" s="28"/>
      <c r="D576" s="35"/>
      <c r="E576" s="38"/>
      <c r="F576" s="38"/>
      <c r="G576" s="52" t="str">
        <f t="shared" si="73"/>
        <v/>
      </c>
      <c r="H576" s="53" t="str">
        <f t="shared" si="74"/>
        <v/>
      </c>
      <c r="I576" s="40"/>
      <c r="J576" s="54" t="str">
        <f t="shared" si="75"/>
        <v/>
      </c>
      <c r="K576" s="41" t="str">
        <f t="shared" si="76"/>
        <v/>
      </c>
      <c r="L576" s="55"/>
      <c r="M576" s="56">
        <f t="shared" si="77"/>
        <v>0</v>
      </c>
      <c r="N576" s="56">
        <f t="shared" si="78"/>
        <v>0</v>
      </c>
      <c r="O576" s="57"/>
      <c r="P576" s="40"/>
      <c r="Q576" s="52" t="str">
        <f>IF($D576="","",IF($K576&lt;&gt;"Balance Sheet / Clearing","-",IF(SUMPRODUCT(--(LEFT('7. Settlements'!$J$8:$J$107,7)=$A576),--('7. Settlements'!$M$8:$M$107="Tied out"))+SUMPRODUCT(--(LEFT('8. Transfers'!$H$9:$H$108,7)=$A576),--('8. Transfers'!$J$9:$J$108="Matched"))+SUMPRODUCT(--(LEFT('8. Transfers'!$I$9:$I$108,7)=$A576),--('8. Transfers'!$J$9:$J$108="Matched"))+IF($O576="",0,COUNTIFS('9. Payroll Allocation'!$B$234:$B$253,$O576,'9. Payroll Allocation'!$H$234:$H$253,"Tied out"))&gt;0,"Linked","MISSING DETAIL")))</f>
        <v/>
      </c>
      <c r="T576" s="58" t="str">
        <f t="shared" si="79"/>
        <v/>
      </c>
      <c r="U576" s="59" t="str">
        <f>IF($T576="","",COUNTIF($T$6:$T576,"?*"))</f>
        <v/>
      </c>
      <c r="V576" s="58" t="str">
        <f t="shared" si="80"/>
        <v/>
      </c>
    </row>
    <row r="577" spans="1:22" ht="12.95" customHeight="1" x14ac:dyDescent="0.25">
      <c r="A577" s="60" t="str">
        <f t="shared" si="72"/>
        <v/>
      </c>
      <c r="B577" s="37"/>
      <c r="C577" s="28"/>
      <c r="D577" s="35"/>
      <c r="E577" s="38"/>
      <c r="F577" s="38"/>
      <c r="G577" s="60" t="str">
        <f t="shared" si="73"/>
        <v/>
      </c>
      <c r="H577" s="61" t="str">
        <f t="shared" si="74"/>
        <v/>
      </c>
      <c r="I577" s="40"/>
      <c r="J577" s="62" t="str">
        <f t="shared" si="75"/>
        <v/>
      </c>
      <c r="K577" s="45" t="str">
        <f t="shared" si="76"/>
        <v/>
      </c>
      <c r="L577" s="55"/>
      <c r="M577" s="63">
        <f t="shared" si="77"/>
        <v>0</v>
      </c>
      <c r="N577" s="63">
        <f t="shared" si="78"/>
        <v>0</v>
      </c>
      <c r="O577" s="57"/>
      <c r="P577" s="40"/>
      <c r="Q577" s="60" t="str">
        <f>IF($D577="","",IF($K577&lt;&gt;"Balance Sheet / Clearing","-",IF(SUMPRODUCT(--(LEFT('7. Settlements'!$J$8:$J$107,7)=$A577),--('7. Settlements'!$M$8:$M$107="Tied out"))+SUMPRODUCT(--(LEFT('8. Transfers'!$H$9:$H$108,7)=$A577),--('8. Transfers'!$J$9:$J$108="Matched"))+SUMPRODUCT(--(LEFT('8. Transfers'!$I$9:$I$108,7)=$A577),--('8. Transfers'!$J$9:$J$108="Matched"))+IF($O577="",0,COUNTIFS('9. Payroll Allocation'!$B$234:$B$253,$O577,'9. Payroll Allocation'!$H$234:$H$253,"Tied out"))&gt;0,"Linked","MISSING DETAIL")))</f>
        <v/>
      </c>
      <c r="T577" s="58" t="str">
        <f t="shared" si="79"/>
        <v/>
      </c>
      <c r="U577" s="59" t="str">
        <f>IF($T577="","",COUNTIF($T$6:$T577,"?*"))</f>
        <v/>
      </c>
      <c r="V577" s="58" t="str">
        <f t="shared" si="80"/>
        <v/>
      </c>
    </row>
    <row r="578" spans="1:22" ht="12.95" customHeight="1" x14ac:dyDescent="0.25">
      <c r="A578" s="52" t="str">
        <f t="shared" si="72"/>
        <v/>
      </c>
      <c r="B578" s="37"/>
      <c r="C578" s="28"/>
      <c r="D578" s="35"/>
      <c r="E578" s="38"/>
      <c r="F578" s="38"/>
      <c r="G578" s="52" t="str">
        <f t="shared" si="73"/>
        <v/>
      </c>
      <c r="H578" s="53" t="str">
        <f t="shared" si="74"/>
        <v/>
      </c>
      <c r="I578" s="40"/>
      <c r="J578" s="54" t="str">
        <f t="shared" si="75"/>
        <v/>
      </c>
      <c r="K578" s="41" t="str">
        <f t="shared" si="76"/>
        <v/>
      </c>
      <c r="L578" s="55"/>
      <c r="M578" s="56">
        <f t="shared" si="77"/>
        <v>0</v>
      </c>
      <c r="N578" s="56">
        <f t="shared" si="78"/>
        <v>0</v>
      </c>
      <c r="O578" s="57"/>
      <c r="P578" s="40"/>
      <c r="Q578" s="52" t="str">
        <f>IF($D578="","",IF($K578&lt;&gt;"Balance Sheet / Clearing","-",IF(SUMPRODUCT(--(LEFT('7. Settlements'!$J$8:$J$107,7)=$A578),--('7. Settlements'!$M$8:$M$107="Tied out"))+SUMPRODUCT(--(LEFT('8. Transfers'!$H$9:$H$108,7)=$A578),--('8. Transfers'!$J$9:$J$108="Matched"))+SUMPRODUCT(--(LEFT('8. Transfers'!$I$9:$I$108,7)=$A578),--('8. Transfers'!$J$9:$J$108="Matched"))+IF($O578="",0,COUNTIFS('9. Payroll Allocation'!$B$234:$B$253,$O578,'9. Payroll Allocation'!$H$234:$H$253,"Tied out"))&gt;0,"Linked","MISSING DETAIL")))</f>
        <v/>
      </c>
      <c r="T578" s="58" t="str">
        <f t="shared" si="79"/>
        <v/>
      </c>
      <c r="U578" s="59" t="str">
        <f>IF($T578="","",COUNTIF($T$6:$T578,"?*"))</f>
        <v/>
      </c>
      <c r="V578" s="58" t="str">
        <f t="shared" si="80"/>
        <v/>
      </c>
    </row>
    <row r="579" spans="1:22" ht="12.95" customHeight="1" x14ac:dyDescent="0.25">
      <c r="A579" s="60" t="str">
        <f t="shared" si="72"/>
        <v/>
      </c>
      <c r="B579" s="37"/>
      <c r="C579" s="28"/>
      <c r="D579" s="35"/>
      <c r="E579" s="38"/>
      <c r="F579" s="38"/>
      <c r="G579" s="60" t="str">
        <f t="shared" si="73"/>
        <v/>
      </c>
      <c r="H579" s="61" t="str">
        <f t="shared" si="74"/>
        <v/>
      </c>
      <c r="I579" s="40"/>
      <c r="J579" s="62" t="str">
        <f t="shared" si="75"/>
        <v/>
      </c>
      <c r="K579" s="45" t="str">
        <f t="shared" si="76"/>
        <v/>
      </c>
      <c r="L579" s="55"/>
      <c r="M579" s="63">
        <f t="shared" si="77"/>
        <v>0</v>
      </c>
      <c r="N579" s="63">
        <f t="shared" si="78"/>
        <v>0</v>
      </c>
      <c r="O579" s="57"/>
      <c r="P579" s="40"/>
      <c r="Q579" s="60" t="str">
        <f>IF($D579="","",IF($K579&lt;&gt;"Balance Sheet / Clearing","-",IF(SUMPRODUCT(--(LEFT('7. Settlements'!$J$8:$J$107,7)=$A579),--('7. Settlements'!$M$8:$M$107="Tied out"))+SUMPRODUCT(--(LEFT('8. Transfers'!$H$9:$H$108,7)=$A579),--('8. Transfers'!$J$9:$J$108="Matched"))+SUMPRODUCT(--(LEFT('8. Transfers'!$I$9:$I$108,7)=$A579),--('8. Transfers'!$J$9:$J$108="Matched"))+IF($O579="",0,COUNTIFS('9. Payroll Allocation'!$B$234:$B$253,$O579,'9. Payroll Allocation'!$H$234:$H$253,"Tied out"))&gt;0,"Linked","MISSING DETAIL")))</f>
        <v/>
      </c>
      <c r="T579" s="58" t="str">
        <f t="shared" si="79"/>
        <v/>
      </c>
      <c r="U579" s="59" t="str">
        <f>IF($T579="","",COUNTIF($T$6:$T579,"?*"))</f>
        <v/>
      </c>
      <c r="V579" s="58" t="str">
        <f t="shared" si="80"/>
        <v/>
      </c>
    </row>
    <row r="580" spans="1:22" ht="12.95" customHeight="1" x14ac:dyDescent="0.25">
      <c r="A580" s="52" t="str">
        <f t="shared" si="72"/>
        <v/>
      </c>
      <c r="B580" s="37"/>
      <c r="C580" s="28"/>
      <c r="D580" s="35"/>
      <c r="E580" s="38"/>
      <c r="F580" s="38"/>
      <c r="G580" s="52" t="str">
        <f t="shared" si="73"/>
        <v/>
      </c>
      <c r="H580" s="53" t="str">
        <f t="shared" si="74"/>
        <v/>
      </c>
      <c r="I580" s="40"/>
      <c r="J580" s="54" t="str">
        <f t="shared" si="75"/>
        <v/>
      </c>
      <c r="K580" s="41" t="str">
        <f t="shared" si="76"/>
        <v/>
      </c>
      <c r="L580" s="55"/>
      <c r="M580" s="56">
        <f t="shared" si="77"/>
        <v>0</v>
      </c>
      <c r="N580" s="56">
        <f t="shared" si="78"/>
        <v>0</v>
      </c>
      <c r="O580" s="57"/>
      <c r="P580" s="40"/>
      <c r="Q580" s="52" t="str">
        <f>IF($D580="","",IF($K580&lt;&gt;"Balance Sheet / Clearing","-",IF(SUMPRODUCT(--(LEFT('7. Settlements'!$J$8:$J$107,7)=$A580),--('7. Settlements'!$M$8:$M$107="Tied out"))+SUMPRODUCT(--(LEFT('8. Transfers'!$H$9:$H$108,7)=$A580),--('8. Transfers'!$J$9:$J$108="Matched"))+SUMPRODUCT(--(LEFT('8. Transfers'!$I$9:$I$108,7)=$A580),--('8. Transfers'!$J$9:$J$108="Matched"))+IF($O580="",0,COUNTIFS('9. Payroll Allocation'!$B$234:$B$253,$O580,'9. Payroll Allocation'!$H$234:$H$253,"Tied out"))&gt;0,"Linked","MISSING DETAIL")))</f>
        <v/>
      </c>
      <c r="T580" s="58" t="str">
        <f t="shared" si="79"/>
        <v/>
      </c>
      <c r="U580" s="59" t="str">
        <f>IF($T580="","",COUNTIF($T$6:$T580,"?*"))</f>
        <v/>
      </c>
      <c r="V580" s="58" t="str">
        <f t="shared" si="80"/>
        <v/>
      </c>
    </row>
    <row r="581" spans="1:22" ht="12.95" customHeight="1" x14ac:dyDescent="0.25">
      <c r="A581" s="60" t="str">
        <f t="shared" si="72"/>
        <v/>
      </c>
      <c r="B581" s="37"/>
      <c r="C581" s="28"/>
      <c r="D581" s="35"/>
      <c r="E581" s="38"/>
      <c r="F581" s="38"/>
      <c r="G581" s="60" t="str">
        <f t="shared" si="73"/>
        <v/>
      </c>
      <c r="H581" s="61" t="str">
        <f t="shared" si="74"/>
        <v/>
      </c>
      <c r="I581" s="40"/>
      <c r="J581" s="62" t="str">
        <f t="shared" si="75"/>
        <v/>
      </c>
      <c r="K581" s="45" t="str">
        <f t="shared" si="76"/>
        <v/>
      </c>
      <c r="L581" s="55"/>
      <c r="M581" s="63">
        <f t="shared" si="77"/>
        <v>0</v>
      </c>
      <c r="N581" s="63">
        <f t="shared" si="78"/>
        <v>0</v>
      </c>
      <c r="O581" s="57"/>
      <c r="P581" s="40"/>
      <c r="Q581" s="60" t="str">
        <f>IF($D581="","",IF($K581&lt;&gt;"Balance Sheet / Clearing","-",IF(SUMPRODUCT(--(LEFT('7. Settlements'!$J$8:$J$107,7)=$A581),--('7. Settlements'!$M$8:$M$107="Tied out"))+SUMPRODUCT(--(LEFT('8. Transfers'!$H$9:$H$108,7)=$A581),--('8. Transfers'!$J$9:$J$108="Matched"))+SUMPRODUCT(--(LEFT('8. Transfers'!$I$9:$I$108,7)=$A581),--('8. Transfers'!$J$9:$J$108="Matched"))+IF($O581="",0,COUNTIFS('9. Payroll Allocation'!$B$234:$B$253,$O581,'9. Payroll Allocation'!$H$234:$H$253,"Tied out"))&gt;0,"Linked","MISSING DETAIL")))</f>
        <v/>
      </c>
      <c r="T581" s="58" t="str">
        <f t="shared" si="79"/>
        <v/>
      </c>
      <c r="U581" s="59" t="str">
        <f>IF($T581="","",COUNTIF($T$6:$T581,"?*"))</f>
        <v/>
      </c>
      <c r="V581" s="58" t="str">
        <f t="shared" si="80"/>
        <v/>
      </c>
    </row>
    <row r="582" spans="1:22" ht="12.95" customHeight="1" x14ac:dyDescent="0.25">
      <c r="A582" s="52" t="str">
        <f t="shared" ref="A582:A645" si="81">IF($D582="","","TX-"&amp;TEXT(ROW()-5,"0000"))</f>
        <v/>
      </c>
      <c r="B582" s="37"/>
      <c r="C582" s="28"/>
      <c r="D582" s="35"/>
      <c r="E582" s="38"/>
      <c r="F582" s="38"/>
      <c r="G582" s="52" t="str">
        <f t="shared" ref="G582:G645" si="82">IF($D582="","",IFERROR(_xlfn.AGGREGATE(15,6,Rules_Pri/((ISNUMBER(SEARCH(Rules_Key,$D582)))*(Rules_Key&lt;&gt;"")*(Rules_Active="Yes")*((Rules_Dir="Any")+(Rules_Dir=IF(N($E582)&gt;0,"In","Out")))),1),""))</f>
        <v/>
      </c>
      <c r="H582" s="53" t="str">
        <f t="shared" ref="H582:H645" si="83">IF($D582="","",IF($G582="",IF(N($E582)&gt;0,"Uncategorized Deposit - NEEDS REVIEW","Uncategorized - NEEDS REVIEW"),INDEX(Rules_Cat,MATCH(1,INDEX(((ISNUMBER(SEARCH(Rules_Key,$D582)))*(Rules_Key&lt;&gt;"")*(Rules_Active="Yes")*((Rules_Dir="Any")+(Rules_Dir=IF(N($E582)&gt;0,"In","Out"))))*(Rules_Pri=$G582),0),0))))</f>
        <v/>
      </c>
      <c r="I582" s="40"/>
      <c r="J582" s="54" t="str">
        <f t="shared" ref="J582:J645" si="84">IF($D582="","",IF($I582&lt;&gt;"",$I582,$H582))</f>
        <v/>
      </c>
      <c r="K582" s="41" t="str">
        <f t="shared" ref="K582:K645" si="85">IF($J582="","",IFERROR(INDEX(Cat_Treatment,MATCH($J582,Cat_Name,0)),"Review Required"))</f>
        <v/>
      </c>
      <c r="L582" s="55"/>
      <c r="M582" s="56">
        <f t="shared" ref="M582:M645" si="86">IF($K582&lt;&gt;"Operating Expense",0,IF(AND($L582&lt;&gt;"",OR(N($L582)&lt;0,N($L582)&gt;1)),0,ROUND(N($F582)*IF($L582="",1,$L582),2)))</f>
        <v>0</v>
      </c>
      <c r="N582" s="56">
        <f t="shared" ref="N582:N645" si="87">IF($K582="Operating Revenue",ROUND(N($E582)-N($F582),2),0)</f>
        <v>0</v>
      </c>
      <c r="O582" s="57"/>
      <c r="P582" s="40"/>
      <c r="Q582" s="52" t="str">
        <f>IF($D582="","",IF($K582&lt;&gt;"Balance Sheet / Clearing","-",IF(SUMPRODUCT(--(LEFT('7. Settlements'!$J$8:$J$107,7)=$A582),--('7. Settlements'!$M$8:$M$107="Tied out"))+SUMPRODUCT(--(LEFT('8. Transfers'!$H$9:$H$108,7)=$A582),--('8. Transfers'!$J$9:$J$108="Matched"))+SUMPRODUCT(--(LEFT('8. Transfers'!$I$9:$I$108,7)=$A582),--('8. Transfers'!$J$9:$J$108="Matched"))+IF($O582="",0,COUNTIFS('9. Payroll Allocation'!$B$234:$B$253,$O582,'9. Payroll Allocation'!$H$234:$H$253,"Tied out"))&gt;0,"Linked","MISSING DETAIL")))</f>
        <v/>
      </c>
      <c r="T582" s="58" t="str">
        <f t="shared" ref="T582:T645" si="88">IF(OR($D582="",$K582&lt;&gt;"Balance Sheet / Clearing"),"",$A582&amp;" · "&amp;TEXT($B582,"mm/dd")&amp;" · "&amp;LEFT($D582,24)&amp;" · "&amp;TEXT(N($E582)+N($F582),"#,##0.00"))</f>
        <v/>
      </c>
      <c r="U582" s="59" t="str">
        <f>IF($T582="","",COUNTIF($T$6:$T582,"?*"))</f>
        <v/>
      </c>
      <c r="V582" s="58" t="str">
        <f t="shared" ref="V582:V645" si="89">IFERROR(INDEX($T$6:$T$1005,MATCH(ROW()-5,$U$6:$U$1005,0)),"")</f>
        <v/>
      </c>
    </row>
    <row r="583" spans="1:22" ht="12.95" customHeight="1" x14ac:dyDescent="0.25">
      <c r="A583" s="60" t="str">
        <f t="shared" si="81"/>
        <v/>
      </c>
      <c r="B583" s="37"/>
      <c r="C583" s="28"/>
      <c r="D583" s="35"/>
      <c r="E583" s="38"/>
      <c r="F583" s="38"/>
      <c r="G583" s="60" t="str">
        <f t="shared" si="82"/>
        <v/>
      </c>
      <c r="H583" s="61" t="str">
        <f t="shared" si="83"/>
        <v/>
      </c>
      <c r="I583" s="40"/>
      <c r="J583" s="62" t="str">
        <f t="shared" si="84"/>
        <v/>
      </c>
      <c r="K583" s="45" t="str">
        <f t="shared" si="85"/>
        <v/>
      </c>
      <c r="L583" s="55"/>
      <c r="M583" s="63">
        <f t="shared" si="86"/>
        <v>0</v>
      </c>
      <c r="N583" s="63">
        <f t="shared" si="87"/>
        <v>0</v>
      </c>
      <c r="O583" s="57"/>
      <c r="P583" s="40"/>
      <c r="Q583" s="60" t="str">
        <f>IF($D583="","",IF($K583&lt;&gt;"Balance Sheet / Clearing","-",IF(SUMPRODUCT(--(LEFT('7. Settlements'!$J$8:$J$107,7)=$A583),--('7. Settlements'!$M$8:$M$107="Tied out"))+SUMPRODUCT(--(LEFT('8. Transfers'!$H$9:$H$108,7)=$A583),--('8. Transfers'!$J$9:$J$108="Matched"))+SUMPRODUCT(--(LEFT('8. Transfers'!$I$9:$I$108,7)=$A583),--('8. Transfers'!$J$9:$J$108="Matched"))+IF($O583="",0,COUNTIFS('9. Payroll Allocation'!$B$234:$B$253,$O583,'9. Payroll Allocation'!$H$234:$H$253,"Tied out"))&gt;0,"Linked","MISSING DETAIL")))</f>
        <v/>
      </c>
      <c r="T583" s="58" t="str">
        <f t="shared" si="88"/>
        <v/>
      </c>
      <c r="U583" s="59" t="str">
        <f>IF($T583="","",COUNTIF($T$6:$T583,"?*"))</f>
        <v/>
      </c>
      <c r="V583" s="58" t="str">
        <f t="shared" si="89"/>
        <v/>
      </c>
    </row>
    <row r="584" spans="1:22" ht="12.95" customHeight="1" x14ac:dyDescent="0.25">
      <c r="A584" s="52" t="str">
        <f t="shared" si="81"/>
        <v/>
      </c>
      <c r="B584" s="37"/>
      <c r="C584" s="28"/>
      <c r="D584" s="35"/>
      <c r="E584" s="38"/>
      <c r="F584" s="38"/>
      <c r="G584" s="52" t="str">
        <f t="shared" si="82"/>
        <v/>
      </c>
      <c r="H584" s="53" t="str">
        <f t="shared" si="83"/>
        <v/>
      </c>
      <c r="I584" s="40"/>
      <c r="J584" s="54" t="str">
        <f t="shared" si="84"/>
        <v/>
      </c>
      <c r="K584" s="41" t="str">
        <f t="shared" si="85"/>
        <v/>
      </c>
      <c r="L584" s="55"/>
      <c r="M584" s="56">
        <f t="shared" si="86"/>
        <v>0</v>
      </c>
      <c r="N584" s="56">
        <f t="shared" si="87"/>
        <v>0</v>
      </c>
      <c r="O584" s="57"/>
      <c r="P584" s="40"/>
      <c r="Q584" s="52" t="str">
        <f>IF($D584="","",IF($K584&lt;&gt;"Balance Sheet / Clearing","-",IF(SUMPRODUCT(--(LEFT('7. Settlements'!$J$8:$J$107,7)=$A584),--('7. Settlements'!$M$8:$M$107="Tied out"))+SUMPRODUCT(--(LEFT('8. Transfers'!$H$9:$H$108,7)=$A584),--('8. Transfers'!$J$9:$J$108="Matched"))+SUMPRODUCT(--(LEFT('8. Transfers'!$I$9:$I$108,7)=$A584),--('8. Transfers'!$J$9:$J$108="Matched"))+IF($O584="",0,COUNTIFS('9. Payroll Allocation'!$B$234:$B$253,$O584,'9. Payroll Allocation'!$H$234:$H$253,"Tied out"))&gt;0,"Linked","MISSING DETAIL")))</f>
        <v/>
      </c>
      <c r="T584" s="58" t="str">
        <f t="shared" si="88"/>
        <v/>
      </c>
      <c r="U584" s="59" t="str">
        <f>IF($T584="","",COUNTIF($T$6:$T584,"?*"))</f>
        <v/>
      </c>
      <c r="V584" s="58" t="str">
        <f t="shared" si="89"/>
        <v/>
      </c>
    </row>
    <row r="585" spans="1:22" ht="12.95" customHeight="1" x14ac:dyDescent="0.25">
      <c r="A585" s="60" t="str">
        <f t="shared" si="81"/>
        <v/>
      </c>
      <c r="B585" s="37"/>
      <c r="C585" s="28"/>
      <c r="D585" s="35"/>
      <c r="E585" s="38"/>
      <c r="F585" s="38"/>
      <c r="G585" s="60" t="str">
        <f t="shared" si="82"/>
        <v/>
      </c>
      <c r="H585" s="61" t="str">
        <f t="shared" si="83"/>
        <v/>
      </c>
      <c r="I585" s="40"/>
      <c r="J585" s="62" t="str">
        <f t="shared" si="84"/>
        <v/>
      </c>
      <c r="K585" s="45" t="str">
        <f t="shared" si="85"/>
        <v/>
      </c>
      <c r="L585" s="55"/>
      <c r="M585" s="63">
        <f t="shared" si="86"/>
        <v>0</v>
      </c>
      <c r="N585" s="63">
        <f t="shared" si="87"/>
        <v>0</v>
      </c>
      <c r="O585" s="57"/>
      <c r="P585" s="40"/>
      <c r="Q585" s="60" t="str">
        <f>IF($D585="","",IF($K585&lt;&gt;"Balance Sheet / Clearing","-",IF(SUMPRODUCT(--(LEFT('7. Settlements'!$J$8:$J$107,7)=$A585),--('7. Settlements'!$M$8:$M$107="Tied out"))+SUMPRODUCT(--(LEFT('8. Transfers'!$H$9:$H$108,7)=$A585),--('8. Transfers'!$J$9:$J$108="Matched"))+SUMPRODUCT(--(LEFT('8. Transfers'!$I$9:$I$108,7)=$A585),--('8. Transfers'!$J$9:$J$108="Matched"))+IF($O585="",0,COUNTIFS('9. Payroll Allocation'!$B$234:$B$253,$O585,'9. Payroll Allocation'!$H$234:$H$253,"Tied out"))&gt;0,"Linked","MISSING DETAIL")))</f>
        <v/>
      </c>
      <c r="T585" s="58" t="str">
        <f t="shared" si="88"/>
        <v/>
      </c>
      <c r="U585" s="59" t="str">
        <f>IF($T585="","",COUNTIF($T$6:$T585,"?*"))</f>
        <v/>
      </c>
      <c r="V585" s="58" t="str">
        <f t="shared" si="89"/>
        <v/>
      </c>
    </row>
    <row r="586" spans="1:22" ht="12.95" customHeight="1" x14ac:dyDescent="0.25">
      <c r="A586" s="52" t="str">
        <f t="shared" si="81"/>
        <v/>
      </c>
      <c r="B586" s="37"/>
      <c r="C586" s="28"/>
      <c r="D586" s="35"/>
      <c r="E586" s="38"/>
      <c r="F586" s="38"/>
      <c r="G586" s="52" t="str">
        <f t="shared" si="82"/>
        <v/>
      </c>
      <c r="H586" s="53" t="str">
        <f t="shared" si="83"/>
        <v/>
      </c>
      <c r="I586" s="40"/>
      <c r="J586" s="54" t="str">
        <f t="shared" si="84"/>
        <v/>
      </c>
      <c r="K586" s="41" t="str">
        <f t="shared" si="85"/>
        <v/>
      </c>
      <c r="L586" s="55"/>
      <c r="M586" s="56">
        <f t="shared" si="86"/>
        <v>0</v>
      </c>
      <c r="N586" s="56">
        <f t="shared" si="87"/>
        <v>0</v>
      </c>
      <c r="O586" s="57"/>
      <c r="P586" s="40"/>
      <c r="Q586" s="52" t="str">
        <f>IF($D586="","",IF($K586&lt;&gt;"Balance Sheet / Clearing","-",IF(SUMPRODUCT(--(LEFT('7. Settlements'!$J$8:$J$107,7)=$A586),--('7. Settlements'!$M$8:$M$107="Tied out"))+SUMPRODUCT(--(LEFT('8. Transfers'!$H$9:$H$108,7)=$A586),--('8. Transfers'!$J$9:$J$108="Matched"))+SUMPRODUCT(--(LEFT('8. Transfers'!$I$9:$I$108,7)=$A586),--('8. Transfers'!$J$9:$J$108="Matched"))+IF($O586="",0,COUNTIFS('9. Payroll Allocation'!$B$234:$B$253,$O586,'9. Payroll Allocation'!$H$234:$H$253,"Tied out"))&gt;0,"Linked","MISSING DETAIL")))</f>
        <v/>
      </c>
      <c r="T586" s="58" t="str">
        <f t="shared" si="88"/>
        <v/>
      </c>
      <c r="U586" s="59" t="str">
        <f>IF($T586="","",COUNTIF($T$6:$T586,"?*"))</f>
        <v/>
      </c>
      <c r="V586" s="58" t="str">
        <f t="shared" si="89"/>
        <v/>
      </c>
    </row>
    <row r="587" spans="1:22" ht="12.95" customHeight="1" x14ac:dyDescent="0.25">
      <c r="A587" s="60" t="str">
        <f t="shared" si="81"/>
        <v/>
      </c>
      <c r="B587" s="37"/>
      <c r="C587" s="28"/>
      <c r="D587" s="35"/>
      <c r="E587" s="38"/>
      <c r="F587" s="38"/>
      <c r="G587" s="60" t="str">
        <f t="shared" si="82"/>
        <v/>
      </c>
      <c r="H587" s="61" t="str">
        <f t="shared" si="83"/>
        <v/>
      </c>
      <c r="I587" s="40"/>
      <c r="J587" s="62" t="str">
        <f t="shared" si="84"/>
        <v/>
      </c>
      <c r="K587" s="45" t="str">
        <f t="shared" si="85"/>
        <v/>
      </c>
      <c r="L587" s="55"/>
      <c r="M587" s="63">
        <f t="shared" si="86"/>
        <v>0</v>
      </c>
      <c r="N587" s="63">
        <f t="shared" si="87"/>
        <v>0</v>
      </c>
      <c r="O587" s="57"/>
      <c r="P587" s="40"/>
      <c r="Q587" s="60" t="str">
        <f>IF($D587="","",IF($K587&lt;&gt;"Balance Sheet / Clearing","-",IF(SUMPRODUCT(--(LEFT('7. Settlements'!$J$8:$J$107,7)=$A587),--('7. Settlements'!$M$8:$M$107="Tied out"))+SUMPRODUCT(--(LEFT('8. Transfers'!$H$9:$H$108,7)=$A587),--('8. Transfers'!$J$9:$J$108="Matched"))+SUMPRODUCT(--(LEFT('8. Transfers'!$I$9:$I$108,7)=$A587),--('8. Transfers'!$J$9:$J$108="Matched"))+IF($O587="",0,COUNTIFS('9. Payroll Allocation'!$B$234:$B$253,$O587,'9. Payroll Allocation'!$H$234:$H$253,"Tied out"))&gt;0,"Linked","MISSING DETAIL")))</f>
        <v/>
      </c>
      <c r="T587" s="58" t="str">
        <f t="shared" si="88"/>
        <v/>
      </c>
      <c r="U587" s="59" t="str">
        <f>IF($T587="","",COUNTIF($T$6:$T587,"?*"))</f>
        <v/>
      </c>
      <c r="V587" s="58" t="str">
        <f t="shared" si="89"/>
        <v/>
      </c>
    </row>
    <row r="588" spans="1:22" ht="12.95" customHeight="1" x14ac:dyDescent="0.25">
      <c r="A588" s="52" t="str">
        <f t="shared" si="81"/>
        <v/>
      </c>
      <c r="B588" s="37"/>
      <c r="C588" s="28"/>
      <c r="D588" s="35"/>
      <c r="E588" s="38"/>
      <c r="F588" s="38"/>
      <c r="G588" s="52" t="str">
        <f t="shared" si="82"/>
        <v/>
      </c>
      <c r="H588" s="53" t="str">
        <f t="shared" si="83"/>
        <v/>
      </c>
      <c r="I588" s="40"/>
      <c r="J588" s="54" t="str">
        <f t="shared" si="84"/>
        <v/>
      </c>
      <c r="K588" s="41" t="str">
        <f t="shared" si="85"/>
        <v/>
      </c>
      <c r="L588" s="55"/>
      <c r="M588" s="56">
        <f t="shared" si="86"/>
        <v>0</v>
      </c>
      <c r="N588" s="56">
        <f t="shared" si="87"/>
        <v>0</v>
      </c>
      <c r="O588" s="57"/>
      <c r="P588" s="40"/>
      <c r="Q588" s="52" t="str">
        <f>IF($D588="","",IF($K588&lt;&gt;"Balance Sheet / Clearing","-",IF(SUMPRODUCT(--(LEFT('7. Settlements'!$J$8:$J$107,7)=$A588),--('7. Settlements'!$M$8:$M$107="Tied out"))+SUMPRODUCT(--(LEFT('8. Transfers'!$H$9:$H$108,7)=$A588),--('8. Transfers'!$J$9:$J$108="Matched"))+SUMPRODUCT(--(LEFT('8. Transfers'!$I$9:$I$108,7)=$A588),--('8. Transfers'!$J$9:$J$108="Matched"))+IF($O588="",0,COUNTIFS('9. Payroll Allocation'!$B$234:$B$253,$O588,'9. Payroll Allocation'!$H$234:$H$253,"Tied out"))&gt;0,"Linked","MISSING DETAIL")))</f>
        <v/>
      </c>
      <c r="T588" s="58" t="str">
        <f t="shared" si="88"/>
        <v/>
      </c>
      <c r="U588" s="59" t="str">
        <f>IF($T588="","",COUNTIF($T$6:$T588,"?*"))</f>
        <v/>
      </c>
      <c r="V588" s="58" t="str">
        <f t="shared" si="89"/>
        <v/>
      </c>
    </row>
    <row r="589" spans="1:22" ht="12.95" customHeight="1" x14ac:dyDescent="0.25">
      <c r="A589" s="60" t="str">
        <f t="shared" si="81"/>
        <v/>
      </c>
      <c r="B589" s="37"/>
      <c r="C589" s="28"/>
      <c r="D589" s="35"/>
      <c r="E589" s="38"/>
      <c r="F589" s="38"/>
      <c r="G589" s="60" t="str">
        <f t="shared" si="82"/>
        <v/>
      </c>
      <c r="H589" s="61" t="str">
        <f t="shared" si="83"/>
        <v/>
      </c>
      <c r="I589" s="40"/>
      <c r="J589" s="62" t="str">
        <f t="shared" si="84"/>
        <v/>
      </c>
      <c r="K589" s="45" t="str">
        <f t="shared" si="85"/>
        <v/>
      </c>
      <c r="L589" s="55"/>
      <c r="M589" s="63">
        <f t="shared" si="86"/>
        <v>0</v>
      </c>
      <c r="N589" s="63">
        <f t="shared" si="87"/>
        <v>0</v>
      </c>
      <c r="O589" s="57"/>
      <c r="P589" s="40"/>
      <c r="Q589" s="60" t="str">
        <f>IF($D589="","",IF($K589&lt;&gt;"Balance Sheet / Clearing","-",IF(SUMPRODUCT(--(LEFT('7. Settlements'!$J$8:$J$107,7)=$A589),--('7. Settlements'!$M$8:$M$107="Tied out"))+SUMPRODUCT(--(LEFT('8. Transfers'!$H$9:$H$108,7)=$A589),--('8. Transfers'!$J$9:$J$108="Matched"))+SUMPRODUCT(--(LEFT('8. Transfers'!$I$9:$I$108,7)=$A589),--('8. Transfers'!$J$9:$J$108="Matched"))+IF($O589="",0,COUNTIFS('9. Payroll Allocation'!$B$234:$B$253,$O589,'9. Payroll Allocation'!$H$234:$H$253,"Tied out"))&gt;0,"Linked","MISSING DETAIL")))</f>
        <v/>
      </c>
      <c r="T589" s="58" t="str">
        <f t="shared" si="88"/>
        <v/>
      </c>
      <c r="U589" s="59" t="str">
        <f>IF($T589="","",COUNTIF($T$6:$T589,"?*"))</f>
        <v/>
      </c>
      <c r="V589" s="58" t="str">
        <f t="shared" si="89"/>
        <v/>
      </c>
    </row>
    <row r="590" spans="1:22" ht="12.95" customHeight="1" x14ac:dyDescent="0.25">
      <c r="A590" s="52" t="str">
        <f t="shared" si="81"/>
        <v/>
      </c>
      <c r="B590" s="37"/>
      <c r="C590" s="28"/>
      <c r="D590" s="35"/>
      <c r="E590" s="38"/>
      <c r="F590" s="38"/>
      <c r="G590" s="52" t="str">
        <f t="shared" si="82"/>
        <v/>
      </c>
      <c r="H590" s="53" t="str">
        <f t="shared" si="83"/>
        <v/>
      </c>
      <c r="I590" s="40"/>
      <c r="J590" s="54" t="str">
        <f t="shared" si="84"/>
        <v/>
      </c>
      <c r="K590" s="41" t="str">
        <f t="shared" si="85"/>
        <v/>
      </c>
      <c r="L590" s="55"/>
      <c r="M590" s="56">
        <f t="shared" si="86"/>
        <v>0</v>
      </c>
      <c r="N590" s="56">
        <f t="shared" si="87"/>
        <v>0</v>
      </c>
      <c r="O590" s="57"/>
      <c r="P590" s="40"/>
      <c r="Q590" s="52" t="str">
        <f>IF($D590="","",IF($K590&lt;&gt;"Balance Sheet / Clearing","-",IF(SUMPRODUCT(--(LEFT('7. Settlements'!$J$8:$J$107,7)=$A590),--('7. Settlements'!$M$8:$M$107="Tied out"))+SUMPRODUCT(--(LEFT('8. Transfers'!$H$9:$H$108,7)=$A590),--('8. Transfers'!$J$9:$J$108="Matched"))+SUMPRODUCT(--(LEFT('8. Transfers'!$I$9:$I$108,7)=$A590),--('8. Transfers'!$J$9:$J$108="Matched"))+IF($O590="",0,COUNTIFS('9. Payroll Allocation'!$B$234:$B$253,$O590,'9. Payroll Allocation'!$H$234:$H$253,"Tied out"))&gt;0,"Linked","MISSING DETAIL")))</f>
        <v/>
      </c>
      <c r="T590" s="58" t="str">
        <f t="shared" si="88"/>
        <v/>
      </c>
      <c r="U590" s="59" t="str">
        <f>IF($T590="","",COUNTIF($T$6:$T590,"?*"))</f>
        <v/>
      </c>
      <c r="V590" s="58" t="str">
        <f t="shared" si="89"/>
        <v/>
      </c>
    </row>
    <row r="591" spans="1:22" ht="12.95" customHeight="1" x14ac:dyDescent="0.25">
      <c r="A591" s="60" t="str">
        <f t="shared" si="81"/>
        <v/>
      </c>
      <c r="B591" s="37"/>
      <c r="C591" s="28"/>
      <c r="D591" s="35"/>
      <c r="E591" s="38"/>
      <c r="F591" s="38"/>
      <c r="G591" s="60" t="str">
        <f t="shared" si="82"/>
        <v/>
      </c>
      <c r="H591" s="61" t="str">
        <f t="shared" si="83"/>
        <v/>
      </c>
      <c r="I591" s="40"/>
      <c r="J591" s="62" t="str">
        <f t="shared" si="84"/>
        <v/>
      </c>
      <c r="K591" s="45" t="str">
        <f t="shared" si="85"/>
        <v/>
      </c>
      <c r="L591" s="55"/>
      <c r="M591" s="63">
        <f t="shared" si="86"/>
        <v>0</v>
      </c>
      <c r="N591" s="63">
        <f t="shared" si="87"/>
        <v>0</v>
      </c>
      <c r="O591" s="57"/>
      <c r="P591" s="40"/>
      <c r="Q591" s="60" t="str">
        <f>IF($D591="","",IF($K591&lt;&gt;"Balance Sheet / Clearing","-",IF(SUMPRODUCT(--(LEFT('7. Settlements'!$J$8:$J$107,7)=$A591),--('7. Settlements'!$M$8:$M$107="Tied out"))+SUMPRODUCT(--(LEFT('8. Transfers'!$H$9:$H$108,7)=$A591),--('8. Transfers'!$J$9:$J$108="Matched"))+SUMPRODUCT(--(LEFT('8. Transfers'!$I$9:$I$108,7)=$A591),--('8. Transfers'!$J$9:$J$108="Matched"))+IF($O591="",0,COUNTIFS('9. Payroll Allocation'!$B$234:$B$253,$O591,'9. Payroll Allocation'!$H$234:$H$253,"Tied out"))&gt;0,"Linked","MISSING DETAIL")))</f>
        <v/>
      </c>
      <c r="T591" s="58" t="str">
        <f t="shared" si="88"/>
        <v/>
      </c>
      <c r="U591" s="59" t="str">
        <f>IF($T591="","",COUNTIF($T$6:$T591,"?*"))</f>
        <v/>
      </c>
      <c r="V591" s="58" t="str">
        <f t="shared" si="89"/>
        <v/>
      </c>
    </row>
    <row r="592" spans="1:22" ht="12.95" customHeight="1" x14ac:dyDescent="0.25">
      <c r="A592" s="52" t="str">
        <f t="shared" si="81"/>
        <v/>
      </c>
      <c r="B592" s="37"/>
      <c r="C592" s="28"/>
      <c r="D592" s="35"/>
      <c r="E592" s="38"/>
      <c r="F592" s="38"/>
      <c r="G592" s="52" t="str">
        <f t="shared" si="82"/>
        <v/>
      </c>
      <c r="H592" s="53" t="str">
        <f t="shared" si="83"/>
        <v/>
      </c>
      <c r="I592" s="40"/>
      <c r="J592" s="54" t="str">
        <f t="shared" si="84"/>
        <v/>
      </c>
      <c r="K592" s="41" t="str">
        <f t="shared" si="85"/>
        <v/>
      </c>
      <c r="L592" s="55"/>
      <c r="M592" s="56">
        <f t="shared" si="86"/>
        <v>0</v>
      </c>
      <c r="N592" s="56">
        <f t="shared" si="87"/>
        <v>0</v>
      </c>
      <c r="O592" s="57"/>
      <c r="P592" s="40"/>
      <c r="Q592" s="52" t="str">
        <f>IF($D592="","",IF($K592&lt;&gt;"Balance Sheet / Clearing","-",IF(SUMPRODUCT(--(LEFT('7. Settlements'!$J$8:$J$107,7)=$A592),--('7. Settlements'!$M$8:$M$107="Tied out"))+SUMPRODUCT(--(LEFT('8. Transfers'!$H$9:$H$108,7)=$A592),--('8. Transfers'!$J$9:$J$108="Matched"))+SUMPRODUCT(--(LEFT('8. Transfers'!$I$9:$I$108,7)=$A592),--('8. Transfers'!$J$9:$J$108="Matched"))+IF($O592="",0,COUNTIFS('9. Payroll Allocation'!$B$234:$B$253,$O592,'9. Payroll Allocation'!$H$234:$H$253,"Tied out"))&gt;0,"Linked","MISSING DETAIL")))</f>
        <v/>
      </c>
      <c r="T592" s="58" t="str">
        <f t="shared" si="88"/>
        <v/>
      </c>
      <c r="U592" s="59" t="str">
        <f>IF($T592="","",COUNTIF($T$6:$T592,"?*"))</f>
        <v/>
      </c>
      <c r="V592" s="58" t="str">
        <f t="shared" si="89"/>
        <v/>
      </c>
    </row>
    <row r="593" spans="1:22" ht="12.95" customHeight="1" x14ac:dyDescent="0.25">
      <c r="A593" s="60" t="str">
        <f t="shared" si="81"/>
        <v/>
      </c>
      <c r="B593" s="37"/>
      <c r="C593" s="28"/>
      <c r="D593" s="35"/>
      <c r="E593" s="38"/>
      <c r="F593" s="38"/>
      <c r="G593" s="60" t="str">
        <f t="shared" si="82"/>
        <v/>
      </c>
      <c r="H593" s="61" t="str">
        <f t="shared" si="83"/>
        <v/>
      </c>
      <c r="I593" s="40"/>
      <c r="J593" s="62" t="str">
        <f t="shared" si="84"/>
        <v/>
      </c>
      <c r="K593" s="45" t="str">
        <f t="shared" si="85"/>
        <v/>
      </c>
      <c r="L593" s="55"/>
      <c r="M593" s="63">
        <f t="shared" si="86"/>
        <v>0</v>
      </c>
      <c r="N593" s="63">
        <f t="shared" si="87"/>
        <v>0</v>
      </c>
      <c r="O593" s="57"/>
      <c r="P593" s="40"/>
      <c r="Q593" s="60" t="str">
        <f>IF($D593="","",IF($K593&lt;&gt;"Balance Sheet / Clearing","-",IF(SUMPRODUCT(--(LEFT('7. Settlements'!$J$8:$J$107,7)=$A593),--('7. Settlements'!$M$8:$M$107="Tied out"))+SUMPRODUCT(--(LEFT('8. Transfers'!$H$9:$H$108,7)=$A593),--('8. Transfers'!$J$9:$J$108="Matched"))+SUMPRODUCT(--(LEFT('8. Transfers'!$I$9:$I$108,7)=$A593),--('8. Transfers'!$J$9:$J$108="Matched"))+IF($O593="",0,COUNTIFS('9. Payroll Allocation'!$B$234:$B$253,$O593,'9. Payroll Allocation'!$H$234:$H$253,"Tied out"))&gt;0,"Linked","MISSING DETAIL")))</f>
        <v/>
      </c>
      <c r="T593" s="58" t="str">
        <f t="shared" si="88"/>
        <v/>
      </c>
      <c r="U593" s="59" t="str">
        <f>IF($T593="","",COUNTIF($T$6:$T593,"?*"))</f>
        <v/>
      </c>
      <c r="V593" s="58" t="str">
        <f t="shared" si="89"/>
        <v/>
      </c>
    </row>
    <row r="594" spans="1:22" ht="12.95" customHeight="1" x14ac:dyDescent="0.25">
      <c r="A594" s="52" t="str">
        <f t="shared" si="81"/>
        <v/>
      </c>
      <c r="B594" s="37"/>
      <c r="C594" s="28"/>
      <c r="D594" s="35"/>
      <c r="E594" s="38"/>
      <c r="F594" s="38"/>
      <c r="G594" s="52" t="str">
        <f t="shared" si="82"/>
        <v/>
      </c>
      <c r="H594" s="53" t="str">
        <f t="shared" si="83"/>
        <v/>
      </c>
      <c r="I594" s="40"/>
      <c r="J594" s="54" t="str">
        <f t="shared" si="84"/>
        <v/>
      </c>
      <c r="K594" s="41" t="str">
        <f t="shared" si="85"/>
        <v/>
      </c>
      <c r="L594" s="55"/>
      <c r="M594" s="56">
        <f t="shared" si="86"/>
        <v>0</v>
      </c>
      <c r="N594" s="56">
        <f t="shared" si="87"/>
        <v>0</v>
      </c>
      <c r="O594" s="57"/>
      <c r="P594" s="40"/>
      <c r="Q594" s="52" t="str">
        <f>IF($D594="","",IF($K594&lt;&gt;"Balance Sheet / Clearing","-",IF(SUMPRODUCT(--(LEFT('7. Settlements'!$J$8:$J$107,7)=$A594),--('7. Settlements'!$M$8:$M$107="Tied out"))+SUMPRODUCT(--(LEFT('8. Transfers'!$H$9:$H$108,7)=$A594),--('8. Transfers'!$J$9:$J$108="Matched"))+SUMPRODUCT(--(LEFT('8. Transfers'!$I$9:$I$108,7)=$A594),--('8. Transfers'!$J$9:$J$108="Matched"))+IF($O594="",0,COUNTIFS('9. Payroll Allocation'!$B$234:$B$253,$O594,'9. Payroll Allocation'!$H$234:$H$253,"Tied out"))&gt;0,"Linked","MISSING DETAIL")))</f>
        <v/>
      </c>
      <c r="T594" s="58" t="str">
        <f t="shared" si="88"/>
        <v/>
      </c>
      <c r="U594" s="59" t="str">
        <f>IF($T594="","",COUNTIF($T$6:$T594,"?*"))</f>
        <v/>
      </c>
      <c r="V594" s="58" t="str">
        <f t="shared" si="89"/>
        <v/>
      </c>
    </row>
    <row r="595" spans="1:22" ht="12.95" customHeight="1" x14ac:dyDescent="0.25">
      <c r="A595" s="60" t="str">
        <f t="shared" si="81"/>
        <v/>
      </c>
      <c r="B595" s="37"/>
      <c r="C595" s="28"/>
      <c r="D595" s="35"/>
      <c r="E595" s="38"/>
      <c r="F595" s="38"/>
      <c r="G595" s="60" t="str">
        <f t="shared" si="82"/>
        <v/>
      </c>
      <c r="H595" s="61" t="str">
        <f t="shared" si="83"/>
        <v/>
      </c>
      <c r="I595" s="40"/>
      <c r="J595" s="62" t="str">
        <f t="shared" si="84"/>
        <v/>
      </c>
      <c r="K595" s="45" t="str">
        <f t="shared" si="85"/>
        <v/>
      </c>
      <c r="L595" s="55"/>
      <c r="M595" s="63">
        <f t="shared" si="86"/>
        <v>0</v>
      </c>
      <c r="N595" s="63">
        <f t="shared" si="87"/>
        <v>0</v>
      </c>
      <c r="O595" s="57"/>
      <c r="P595" s="40"/>
      <c r="Q595" s="60" t="str">
        <f>IF($D595="","",IF($K595&lt;&gt;"Balance Sheet / Clearing","-",IF(SUMPRODUCT(--(LEFT('7. Settlements'!$J$8:$J$107,7)=$A595),--('7. Settlements'!$M$8:$M$107="Tied out"))+SUMPRODUCT(--(LEFT('8. Transfers'!$H$9:$H$108,7)=$A595),--('8. Transfers'!$J$9:$J$108="Matched"))+SUMPRODUCT(--(LEFT('8. Transfers'!$I$9:$I$108,7)=$A595),--('8. Transfers'!$J$9:$J$108="Matched"))+IF($O595="",0,COUNTIFS('9. Payroll Allocation'!$B$234:$B$253,$O595,'9. Payroll Allocation'!$H$234:$H$253,"Tied out"))&gt;0,"Linked","MISSING DETAIL")))</f>
        <v/>
      </c>
      <c r="T595" s="58" t="str">
        <f t="shared" si="88"/>
        <v/>
      </c>
      <c r="U595" s="59" t="str">
        <f>IF($T595="","",COUNTIF($T$6:$T595,"?*"))</f>
        <v/>
      </c>
      <c r="V595" s="58" t="str">
        <f t="shared" si="89"/>
        <v/>
      </c>
    </row>
    <row r="596" spans="1:22" ht="12.95" customHeight="1" x14ac:dyDescent="0.25">
      <c r="A596" s="52" t="str">
        <f t="shared" si="81"/>
        <v/>
      </c>
      <c r="B596" s="37"/>
      <c r="C596" s="28"/>
      <c r="D596" s="35"/>
      <c r="E596" s="38"/>
      <c r="F596" s="38"/>
      <c r="G596" s="52" t="str">
        <f t="shared" si="82"/>
        <v/>
      </c>
      <c r="H596" s="53" t="str">
        <f t="shared" si="83"/>
        <v/>
      </c>
      <c r="I596" s="40"/>
      <c r="J596" s="54" t="str">
        <f t="shared" si="84"/>
        <v/>
      </c>
      <c r="K596" s="41" t="str">
        <f t="shared" si="85"/>
        <v/>
      </c>
      <c r="L596" s="55"/>
      <c r="M596" s="56">
        <f t="shared" si="86"/>
        <v>0</v>
      </c>
      <c r="N596" s="56">
        <f t="shared" si="87"/>
        <v>0</v>
      </c>
      <c r="O596" s="57"/>
      <c r="P596" s="40"/>
      <c r="Q596" s="52" t="str">
        <f>IF($D596="","",IF($K596&lt;&gt;"Balance Sheet / Clearing","-",IF(SUMPRODUCT(--(LEFT('7. Settlements'!$J$8:$J$107,7)=$A596),--('7. Settlements'!$M$8:$M$107="Tied out"))+SUMPRODUCT(--(LEFT('8. Transfers'!$H$9:$H$108,7)=$A596),--('8. Transfers'!$J$9:$J$108="Matched"))+SUMPRODUCT(--(LEFT('8. Transfers'!$I$9:$I$108,7)=$A596),--('8. Transfers'!$J$9:$J$108="Matched"))+IF($O596="",0,COUNTIFS('9. Payroll Allocation'!$B$234:$B$253,$O596,'9. Payroll Allocation'!$H$234:$H$253,"Tied out"))&gt;0,"Linked","MISSING DETAIL")))</f>
        <v/>
      </c>
      <c r="T596" s="58" t="str">
        <f t="shared" si="88"/>
        <v/>
      </c>
      <c r="U596" s="59" t="str">
        <f>IF($T596="","",COUNTIF($T$6:$T596,"?*"))</f>
        <v/>
      </c>
      <c r="V596" s="58" t="str">
        <f t="shared" si="89"/>
        <v/>
      </c>
    </row>
    <row r="597" spans="1:22" ht="12.95" customHeight="1" x14ac:dyDescent="0.25">
      <c r="A597" s="60" t="str">
        <f t="shared" si="81"/>
        <v/>
      </c>
      <c r="B597" s="37"/>
      <c r="C597" s="28"/>
      <c r="D597" s="35"/>
      <c r="E597" s="38"/>
      <c r="F597" s="38"/>
      <c r="G597" s="60" t="str">
        <f t="shared" si="82"/>
        <v/>
      </c>
      <c r="H597" s="61" t="str">
        <f t="shared" si="83"/>
        <v/>
      </c>
      <c r="I597" s="40"/>
      <c r="J597" s="62" t="str">
        <f t="shared" si="84"/>
        <v/>
      </c>
      <c r="K597" s="45" t="str">
        <f t="shared" si="85"/>
        <v/>
      </c>
      <c r="L597" s="55"/>
      <c r="M597" s="63">
        <f t="shared" si="86"/>
        <v>0</v>
      </c>
      <c r="N597" s="63">
        <f t="shared" si="87"/>
        <v>0</v>
      </c>
      <c r="O597" s="57"/>
      <c r="P597" s="40"/>
      <c r="Q597" s="60" t="str">
        <f>IF($D597="","",IF($K597&lt;&gt;"Balance Sheet / Clearing","-",IF(SUMPRODUCT(--(LEFT('7. Settlements'!$J$8:$J$107,7)=$A597),--('7. Settlements'!$M$8:$M$107="Tied out"))+SUMPRODUCT(--(LEFT('8. Transfers'!$H$9:$H$108,7)=$A597),--('8. Transfers'!$J$9:$J$108="Matched"))+SUMPRODUCT(--(LEFT('8. Transfers'!$I$9:$I$108,7)=$A597),--('8. Transfers'!$J$9:$J$108="Matched"))+IF($O597="",0,COUNTIFS('9. Payroll Allocation'!$B$234:$B$253,$O597,'9. Payroll Allocation'!$H$234:$H$253,"Tied out"))&gt;0,"Linked","MISSING DETAIL")))</f>
        <v/>
      </c>
      <c r="T597" s="58" t="str">
        <f t="shared" si="88"/>
        <v/>
      </c>
      <c r="U597" s="59" t="str">
        <f>IF($T597="","",COUNTIF($T$6:$T597,"?*"))</f>
        <v/>
      </c>
      <c r="V597" s="58" t="str">
        <f t="shared" si="89"/>
        <v/>
      </c>
    </row>
    <row r="598" spans="1:22" ht="12.95" customHeight="1" x14ac:dyDescent="0.25">
      <c r="A598" s="52" t="str">
        <f t="shared" si="81"/>
        <v/>
      </c>
      <c r="B598" s="37"/>
      <c r="C598" s="28"/>
      <c r="D598" s="35"/>
      <c r="E598" s="38"/>
      <c r="F598" s="38"/>
      <c r="G598" s="52" t="str">
        <f t="shared" si="82"/>
        <v/>
      </c>
      <c r="H598" s="53" t="str">
        <f t="shared" si="83"/>
        <v/>
      </c>
      <c r="I598" s="40"/>
      <c r="J598" s="54" t="str">
        <f t="shared" si="84"/>
        <v/>
      </c>
      <c r="K598" s="41" t="str">
        <f t="shared" si="85"/>
        <v/>
      </c>
      <c r="L598" s="55"/>
      <c r="M598" s="56">
        <f t="shared" si="86"/>
        <v>0</v>
      </c>
      <c r="N598" s="56">
        <f t="shared" si="87"/>
        <v>0</v>
      </c>
      <c r="O598" s="57"/>
      <c r="P598" s="40"/>
      <c r="Q598" s="52" t="str">
        <f>IF($D598="","",IF($K598&lt;&gt;"Balance Sheet / Clearing","-",IF(SUMPRODUCT(--(LEFT('7. Settlements'!$J$8:$J$107,7)=$A598),--('7. Settlements'!$M$8:$M$107="Tied out"))+SUMPRODUCT(--(LEFT('8. Transfers'!$H$9:$H$108,7)=$A598),--('8. Transfers'!$J$9:$J$108="Matched"))+SUMPRODUCT(--(LEFT('8. Transfers'!$I$9:$I$108,7)=$A598),--('8. Transfers'!$J$9:$J$108="Matched"))+IF($O598="",0,COUNTIFS('9. Payroll Allocation'!$B$234:$B$253,$O598,'9. Payroll Allocation'!$H$234:$H$253,"Tied out"))&gt;0,"Linked","MISSING DETAIL")))</f>
        <v/>
      </c>
      <c r="T598" s="58" t="str">
        <f t="shared" si="88"/>
        <v/>
      </c>
      <c r="U598" s="59" t="str">
        <f>IF($T598="","",COUNTIF($T$6:$T598,"?*"))</f>
        <v/>
      </c>
      <c r="V598" s="58" t="str">
        <f t="shared" si="89"/>
        <v/>
      </c>
    </row>
    <row r="599" spans="1:22" ht="12.95" customHeight="1" x14ac:dyDescent="0.25">
      <c r="A599" s="60" t="str">
        <f t="shared" si="81"/>
        <v/>
      </c>
      <c r="B599" s="37"/>
      <c r="C599" s="28"/>
      <c r="D599" s="35"/>
      <c r="E599" s="38"/>
      <c r="F599" s="38"/>
      <c r="G599" s="60" t="str">
        <f t="shared" si="82"/>
        <v/>
      </c>
      <c r="H599" s="61" t="str">
        <f t="shared" si="83"/>
        <v/>
      </c>
      <c r="I599" s="40"/>
      <c r="J599" s="62" t="str">
        <f t="shared" si="84"/>
        <v/>
      </c>
      <c r="K599" s="45" t="str">
        <f t="shared" si="85"/>
        <v/>
      </c>
      <c r="L599" s="55"/>
      <c r="M599" s="63">
        <f t="shared" si="86"/>
        <v>0</v>
      </c>
      <c r="N599" s="63">
        <f t="shared" si="87"/>
        <v>0</v>
      </c>
      <c r="O599" s="57"/>
      <c r="P599" s="40"/>
      <c r="Q599" s="60" t="str">
        <f>IF($D599="","",IF($K599&lt;&gt;"Balance Sheet / Clearing","-",IF(SUMPRODUCT(--(LEFT('7. Settlements'!$J$8:$J$107,7)=$A599),--('7. Settlements'!$M$8:$M$107="Tied out"))+SUMPRODUCT(--(LEFT('8. Transfers'!$H$9:$H$108,7)=$A599),--('8. Transfers'!$J$9:$J$108="Matched"))+SUMPRODUCT(--(LEFT('8. Transfers'!$I$9:$I$108,7)=$A599),--('8. Transfers'!$J$9:$J$108="Matched"))+IF($O599="",0,COUNTIFS('9. Payroll Allocation'!$B$234:$B$253,$O599,'9. Payroll Allocation'!$H$234:$H$253,"Tied out"))&gt;0,"Linked","MISSING DETAIL")))</f>
        <v/>
      </c>
      <c r="T599" s="58" t="str">
        <f t="shared" si="88"/>
        <v/>
      </c>
      <c r="U599" s="59" t="str">
        <f>IF($T599="","",COUNTIF($T$6:$T599,"?*"))</f>
        <v/>
      </c>
      <c r="V599" s="58" t="str">
        <f t="shared" si="89"/>
        <v/>
      </c>
    </row>
    <row r="600" spans="1:22" ht="12.95" customHeight="1" x14ac:dyDescent="0.25">
      <c r="A600" s="52" t="str">
        <f t="shared" si="81"/>
        <v/>
      </c>
      <c r="B600" s="37"/>
      <c r="C600" s="28"/>
      <c r="D600" s="35"/>
      <c r="E600" s="38"/>
      <c r="F600" s="38"/>
      <c r="G600" s="52" t="str">
        <f t="shared" si="82"/>
        <v/>
      </c>
      <c r="H600" s="53" t="str">
        <f t="shared" si="83"/>
        <v/>
      </c>
      <c r="I600" s="40"/>
      <c r="J600" s="54" t="str">
        <f t="shared" si="84"/>
        <v/>
      </c>
      <c r="K600" s="41" t="str">
        <f t="shared" si="85"/>
        <v/>
      </c>
      <c r="L600" s="55"/>
      <c r="M600" s="56">
        <f t="shared" si="86"/>
        <v>0</v>
      </c>
      <c r="N600" s="56">
        <f t="shared" si="87"/>
        <v>0</v>
      </c>
      <c r="O600" s="57"/>
      <c r="P600" s="40"/>
      <c r="Q600" s="52" t="str">
        <f>IF($D600="","",IF($K600&lt;&gt;"Balance Sheet / Clearing","-",IF(SUMPRODUCT(--(LEFT('7. Settlements'!$J$8:$J$107,7)=$A600),--('7. Settlements'!$M$8:$M$107="Tied out"))+SUMPRODUCT(--(LEFT('8. Transfers'!$H$9:$H$108,7)=$A600),--('8. Transfers'!$J$9:$J$108="Matched"))+SUMPRODUCT(--(LEFT('8. Transfers'!$I$9:$I$108,7)=$A600),--('8. Transfers'!$J$9:$J$108="Matched"))+IF($O600="",0,COUNTIFS('9. Payroll Allocation'!$B$234:$B$253,$O600,'9. Payroll Allocation'!$H$234:$H$253,"Tied out"))&gt;0,"Linked","MISSING DETAIL")))</f>
        <v/>
      </c>
      <c r="T600" s="58" t="str">
        <f t="shared" si="88"/>
        <v/>
      </c>
      <c r="U600" s="59" t="str">
        <f>IF($T600="","",COUNTIF($T$6:$T600,"?*"))</f>
        <v/>
      </c>
      <c r="V600" s="58" t="str">
        <f t="shared" si="89"/>
        <v/>
      </c>
    </row>
    <row r="601" spans="1:22" ht="12.95" customHeight="1" x14ac:dyDescent="0.25">
      <c r="A601" s="60" t="str">
        <f t="shared" si="81"/>
        <v/>
      </c>
      <c r="B601" s="37"/>
      <c r="C601" s="28"/>
      <c r="D601" s="35"/>
      <c r="E601" s="38"/>
      <c r="F601" s="38"/>
      <c r="G601" s="60" t="str">
        <f t="shared" si="82"/>
        <v/>
      </c>
      <c r="H601" s="61" t="str">
        <f t="shared" si="83"/>
        <v/>
      </c>
      <c r="I601" s="40"/>
      <c r="J601" s="62" t="str">
        <f t="shared" si="84"/>
        <v/>
      </c>
      <c r="K601" s="45" t="str">
        <f t="shared" si="85"/>
        <v/>
      </c>
      <c r="L601" s="55"/>
      <c r="M601" s="63">
        <f t="shared" si="86"/>
        <v>0</v>
      </c>
      <c r="N601" s="63">
        <f t="shared" si="87"/>
        <v>0</v>
      </c>
      <c r="O601" s="57"/>
      <c r="P601" s="40"/>
      <c r="Q601" s="60" t="str">
        <f>IF($D601="","",IF($K601&lt;&gt;"Balance Sheet / Clearing","-",IF(SUMPRODUCT(--(LEFT('7. Settlements'!$J$8:$J$107,7)=$A601),--('7. Settlements'!$M$8:$M$107="Tied out"))+SUMPRODUCT(--(LEFT('8. Transfers'!$H$9:$H$108,7)=$A601),--('8. Transfers'!$J$9:$J$108="Matched"))+SUMPRODUCT(--(LEFT('8. Transfers'!$I$9:$I$108,7)=$A601),--('8. Transfers'!$J$9:$J$108="Matched"))+IF($O601="",0,COUNTIFS('9. Payroll Allocation'!$B$234:$B$253,$O601,'9. Payroll Allocation'!$H$234:$H$253,"Tied out"))&gt;0,"Linked","MISSING DETAIL")))</f>
        <v/>
      </c>
      <c r="T601" s="58" t="str">
        <f t="shared" si="88"/>
        <v/>
      </c>
      <c r="U601" s="59" t="str">
        <f>IF($T601="","",COUNTIF($T$6:$T601,"?*"))</f>
        <v/>
      </c>
      <c r="V601" s="58" t="str">
        <f t="shared" si="89"/>
        <v/>
      </c>
    </row>
    <row r="602" spans="1:22" ht="12.95" customHeight="1" x14ac:dyDescent="0.25">
      <c r="A602" s="52" t="str">
        <f t="shared" si="81"/>
        <v/>
      </c>
      <c r="B602" s="37"/>
      <c r="C602" s="28"/>
      <c r="D602" s="35"/>
      <c r="E602" s="38"/>
      <c r="F602" s="38"/>
      <c r="G602" s="52" t="str">
        <f t="shared" si="82"/>
        <v/>
      </c>
      <c r="H602" s="53" t="str">
        <f t="shared" si="83"/>
        <v/>
      </c>
      <c r="I602" s="40"/>
      <c r="J602" s="54" t="str">
        <f t="shared" si="84"/>
        <v/>
      </c>
      <c r="K602" s="41" t="str">
        <f t="shared" si="85"/>
        <v/>
      </c>
      <c r="L602" s="55"/>
      <c r="M602" s="56">
        <f t="shared" si="86"/>
        <v>0</v>
      </c>
      <c r="N602" s="56">
        <f t="shared" si="87"/>
        <v>0</v>
      </c>
      <c r="O602" s="57"/>
      <c r="P602" s="40"/>
      <c r="Q602" s="52" t="str">
        <f>IF($D602="","",IF($K602&lt;&gt;"Balance Sheet / Clearing","-",IF(SUMPRODUCT(--(LEFT('7. Settlements'!$J$8:$J$107,7)=$A602),--('7. Settlements'!$M$8:$M$107="Tied out"))+SUMPRODUCT(--(LEFT('8. Transfers'!$H$9:$H$108,7)=$A602),--('8. Transfers'!$J$9:$J$108="Matched"))+SUMPRODUCT(--(LEFT('8. Transfers'!$I$9:$I$108,7)=$A602),--('8. Transfers'!$J$9:$J$108="Matched"))+IF($O602="",0,COUNTIFS('9. Payroll Allocation'!$B$234:$B$253,$O602,'9. Payroll Allocation'!$H$234:$H$253,"Tied out"))&gt;0,"Linked","MISSING DETAIL")))</f>
        <v/>
      </c>
      <c r="T602" s="58" t="str">
        <f t="shared" si="88"/>
        <v/>
      </c>
      <c r="U602" s="59" t="str">
        <f>IF($T602="","",COUNTIF($T$6:$T602,"?*"))</f>
        <v/>
      </c>
      <c r="V602" s="58" t="str">
        <f t="shared" si="89"/>
        <v/>
      </c>
    </row>
    <row r="603" spans="1:22" ht="12.95" customHeight="1" x14ac:dyDescent="0.25">
      <c r="A603" s="60" t="str">
        <f t="shared" si="81"/>
        <v/>
      </c>
      <c r="B603" s="37"/>
      <c r="C603" s="28"/>
      <c r="D603" s="35"/>
      <c r="E603" s="38"/>
      <c r="F603" s="38"/>
      <c r="G603" s="60" t="str">
        <f t="shared" si="82"/>
        <v/>
      </c>
      <c r="H603" s="61" t="str">
        <f t="shared" si="83"/>
        <v/>
      </c>
      <c r="I603" s="40"/>
      <c r="J603" s="62" t="str">
        <f t="shared" si="84"/>
        <v/>
      </c>
      <c r="K603" s="45" t="str">
        <f t="shared" si="85"/>
        <v/>
      </c>
      <c r="L603" s="55"/>
      <c r="M603" s="63">
        <f t="shared" si="86"/>
        <v>0</v>
      </c>
      <c r="N603" s="63">
        <f t="shared" si="87"/>
        <v>0</v>
      </c>
      <c r="O603" s="57"/>
      <c r="P603" s="40"/>
      <c r="Q603" s="60" t="str">
        <f>IF($D603="","",IF($K603&lt;&gt;"Balance Sheet / Clearing","-",IF(SUMPRODUCT(--(LEFT('7. Settlements'!$J$8:$J$107,7)=$A603),--('7. Settlements'!$M$8:$M$107="Tied out"))+SUMPRODUCT(--(LEFT('8. Transfers'!$H$9:$H$108,7)=$A603),--('8. Transfers'!$J$9:$J$108="Matched"))+SUMPRODUCT(--(LEFT('8. Transfers'!$I$9:$I$108,7)=$A603),--('8. Transfers'!$J$9:$J$108="Matched"))+IF($O603="",0,COUNTIFS('9. Payroll Allocation'!$B$234:$B$253,$O603,'9. Payroll Allocation'!$H$234:$H$253,"Tied out"))&gt;0,"Linked","MISSING DETAIL")))</f>
        <v/>
      </c>
      <c r="T603" s="58" t="str">
        <f t="shared" si="88"/>
        <v/>
      </c>
      <c r="U603" s="59" t="str">
        <f>IF($T603="","",COUNTIF($T$6:$T603,"?*"))</f>
        <v/>
      </c>
      <c r="V603" s="58" t="str">
        <f t="shared" si="89"/>
        <v/>
      </c>
    </row>
    <row r="604" spans="1:22" ht="12.95" customHeight="1" x14ac:dyDescent="0.25">
      <c r="A604" s="52" t="str">
        <f t="shared" si="81"/>
        <v/>
      </c>
      <c r="B604" s="37"/>
      <c r="C604" s="28"/>
      <c r="D604" s="35"/>
      <c r="E604" s="38"/>
      <c r="F604" s="38"/>
      <c r="G604" s="52" t="str">
        <f t="shared" si="82"/>
        <v/>
      </c>
      <c r="H604" s="53" t="str">
        <f t="shared" si="83"/>
        <v/>
      </c>
      <c r="I604" s="40"/>
      <c r="J604" s="54" t="str">
        <f t="shared" si="84"/>
        <v/>
      </c>
      <c r="K604" s="41" t="str">
        <f t="shared" si="85"/>
        <v/>
      </c>
      <c r="L604" s="55"/>
      <c r="M604" s="56">
        <f t="shared" si="86"/>
        <v>0</v>
      </c>
      <c r="N604" s="56">
        <f t="shared" si="87"/>
        <v>0</v>
      </c>
      <c r="O604" s="57"/>
      <c r="P604" s="40"/>
      <c r="Q604" s="52" t="str">
        <f>IF($D604="","",IF($K604&lt;&gt;"Balance Sheet / Clearing","-",IF(SUMPRODUCT(--(LEFT('7. Settlements'!$J$8:$J$107,7)=$A604),--('7. Settlements'!$M$8:$M$107="Tied out"))+SUMPRODUCT(--(LEFT('8. Transfers'!$H$9:$H$108,7)=$A604),--('8. Transfers'!$J$9:$J$108="Matched"))+SUMPRODUCT(--(LEFT('8. Transfers'!$I$9:$I$108,7)=$A604),--('8. Transfers'!$J$9:$J$108="Matched"))+IF($O604="",0,COUNTIFS('9. Payroll Allocation'!$B$234:$B$253,$O604,'9. Payroll Allocation'!$H$234:$H$253,"Tied out"))&gt;0,"Linked","MISSING DETAIL")))</f>
        <v/>
      </c>
      <c r="T604" s="58" t="str">
        <f t="shared" si="88"/>
        <v/>
      </c>
      <c r="U604" s="59" t="str">
        <f>IF($T604="","",COUNTIF($T$6:$T604,"?*"))</f>
        <v/>
      </c>
      <c r="V604" s="58" t="str">
        <f t="shared" si="89"/>
        <v/>
      </c>
    </row>
    <row r="605" spans="1:22" ht="12.95" customHeight="1" x14ac:dyDescent="0.25">
      <c r="A605" s="60" t="str">
        <f t="shared" si="81"/>
        <v/>
      </c>
      <c r="B605" s="37"/>
      <c r="C605" s="28"/>
      <c r="D605" s="35"/>
      <c r="E605" s="38"/>
      <c r="F605" s="38"/>
      <c r="G605" s="60" t="str">
        <f t="shared" si="82"/>
        <v/>
      </c>
      <c r="H605" s="61" t="str">
        <f t="shared" si="83"/>
        <v/>
      </c>
      <c r="I605" s="40"/>
      <c r="J605" s="62" t="str">
        <f t="shared" si="84"/>
        <v/>
      </c>
      <c r="K605" s="45" t="str">
        <f t="shared" si="85"/>
        <v/>
      </c>
      <c r="L605" s="55"/>
      <c r="M605" s="63">
        <f t="shared" si="86"/>
        <v>0</v>
      </c>
      <c r="N605" s="63">
        <f t="shared" si="87"/>
        <v>0</v>
      </c>
      <c r="O605" s="57"/>
      <c r="P605" s="40"/>
      <c r="Q605" s="60" t="str">
        <f>IF($D605="","",IF($K605&lt;&gt;"Balance Sheet / Clearing","-",IF(SUMPRODUCT(--(LEFT('7. Settlements'!$J$8:$J$107,7)=$A605),--('7. Settlements'!$M$8:$M$107="Tied out"))+SUMPRODUCT(--(LEFT('8. Transfers'!$H$9:$H$108,7)=$A605),--('8. Transfers'!$J$9:$J$108="Matched"))+SUMPRODUCT(--(LEFT('8. Transfers'!$I$9:$I$108,7)=$A605),--('8. Transfers'!$J$9:$J$108="Matched"))+IF($O605="",0,COUNTIFS('9. Payroll Allocation'!$B$234:$B$253,$O605,'9. Payroll Allocation'!$H$234:$H$253,"Tied out"))&gt;0,"Linked","MISSING DETAIL")))</f>
        <v/>
      </c>
      <c r="T605" s="58" t="str">
        <f t="shared" si="88"/>
        <v/>
      </c>
      <c r="U605" s="59" t="str">
        <f>IF($T605="","",COUNTIF($T$6:$T605,"?*"))</f>
        <v/>
      </c>
      <c r="V605" s="58" t="str">
        <f t="shared" si="89"/>
        <v/>
      </c>
    </row>
    <row r="606" spans="1:22" ht="12.95" customHeight="1" x14ac:dyDescent="0.25">
      <c r="A606" s="52" t="str">
        <f t="shared" si="81"/>
        <v/>
      </c>
      <c r="B606" s="37"/>
      <c r="C606" s="28"/>
      <c r="D606" s="35"/>
      <c r="E606" s="38"/>
      <c r="F606" s="38"/>
      <c r="G606" s="52" t="str">
        <f t="shared" si="82"/>
        <v/>
      </c>
      <c r="H606" s="53" t="str">
        <f t="shared" si="83"/>
        <v/>
      </c>
      <c r="I606" s="40"/>
      <c r="J606" s="54" t="str">
        <f t="shared" si="84"/>
        <v/>
      </c>
      <c r="K606" s="41" t="str">
        <f t="shared" si="85"/>
        <v/>
      </c>
      <c r="L606" s="55"/>
      <c r="M606" s="56">
        <f t="shared" si="86"/>
        <v>0</v>
      </c>
      <c r="N606" s="56">
        <f t="shared" si="87"/>
        <v>0</v>
      </c>
      <c r="O606" s="57"/>
      <c r="P606" s="40"/>
      <c r="Q606" s="52" t="str">
        <f>IF($D606="","",IF($K606&lt;&gt;"Balance Sheet / Clearing","-",IF(SUMPRODUCT(--(LEFT('7. Settlements'!$J$8:$J$107,7)=$A606),--('7. Settlements'!$M$8:$M$107="Tied out"))+SUMPRODUCT(--(LEFT('8. Transfers'!$H$9:$H$108,7)=$A606),--('8. Transfers'!$J$9:$J$108="Matched"))+SUMPRODUCT(--(LEFT('8. Transfers'!$I$9:$I$108,7)=$A606),--('8. Transfers'!$J$9:$J$108="Matched"))+IF($O606="",0,COUNTIFS('9. Payroll Allocation'!$B$234:$B$253,$O606,'9. Payroll Allocation'!$H$234:$H$253,"Tied out"))&gt;0,"Linked","MISSING DETAIL")))</f>
        <v/>
      </c>
      <c r="T606" s="58" t="str">
        <f t="shared" si="88"/>
        <v/>
      </c>
      <c r="U606" s="59" t="str">
        <f>IF($T606="","",COUNTIF($T$6:$T606,"?*"))</f>
        <v/>
      </c>
      <c r="V606" s="58" t="str">
        <f t="shared" si="89"/>
        <v/>
      </c>
    </row>
    <row r="607" spans="1:22" ht="12.95" customHeight="1" x14ac:dyDescent="0.25">
      <c r="A607" s="60" t="str">
        <f t="shared" si="81"/>
        <v/>
      </c>
      <c r="B607" s="37"/>
      <c r="C607" s="28"/>
      <c r="D607" s="35"/>
      <c r="E607" s="38"/>
      <c r="F607" s="38"/>
      <c r="G607" s="60" t="str">
        <f t="shared" si="82"/>
        <v/>
      </c>
      <c r="H607" s="61" t="str">
        <f t="shared" si="83"/>
        <v/>
      </c>
      <c r="I607" s="40"/>
      <c r="J607" s="62" t="str">
        <f t="shared" si="84"/>
        <v/>
      </c>
      <c r="K607" s="45" t="str">
        <f t="shared" si="85"/>
        <v/>
      </c>
      <c r="L607" s="55"/>
      <c r="M607" s="63">
        <f t="shared" si="86"/>
        <v>0</v>
      </c>
      <c r="N607" s="63">
        <f t="shared" si="87"/>
        <v>0</v>
      </c>
      <c r="O607" s="57"/>
      <c r="P607" s="40"/>
      <c r="Q607" s="60" t="str">
        <f>IF($D607="","",IF($K607&lt;&gt;"Balance Sheet / Clearing","-",IF(SUMPRODUCT(--(LEFT('7. Settlements'!$J$8:$J$107,7)=$A607),--('7. Settlements'!$M$8:$M$107="Tied out"))+SUMPRODUCT(--(LEFT('8. Transfers'!$H$9:$H$108,7)=$A607),--('8. Transfers'!$J$9:$J$108="Matched"))+SUMPRODUCT(--(LEFT('8. Transfers'!$I$9:$I$108,7)=$A607),--('8. Transfers'!$J$9:$J$108="Matched"))+IF($O607="",0,COUNTIFS('9. Payroll Allocation'!$B$234:$B$253,$O607,'9. Payroll Allocation'!$H$234:$H$253,"Tied out"))&gt;0,"Linked","MISSING DETAIL")))</f>
        <v/>
      </c>
      <c r="T607" s="58" t="str">
        <f t="shared" si="88"/>
        <v/>
      </c>
      <c r="U607" s="59" t="str">
        <f>IF($T607="","",COUNTIF($T$6:$T607,"?*"))</f>
        <v/>
      </c>
      <c r="V607" s="58" t="str">
        <f t="shared" si="89"/>
        <v/>
      </c>
    </row>
    <row r="608" spans="1:22" ht="12.95" customHeight="1" x14ac:dyDescent="0.25">
      <c r="A608" s="52" t="str">
        <f t="shared" si="81"/>
        <v/>
      </c>
      <c r="B608" s="37"/>
      <c r="C608" s="28"/>
      <c r="D608" s="35"/>
      <c r="E608" s="38"/>
      <c r="F608" s="38"/>
      <c r="G608" s="52" t="str">
        <f t="shared" si="82"/>
        <v/>
      </c>
      <c r="H608" s="53" t="str">
        <f t="shared" si="83"/>
        <v/>
      </c>
      <c r="I608" s="40"/>
      <c r="J608" s="54" t="str">
        <f t="shared" si="84"/>
        <v/>
      </c>
      <c r="K608" s="41" t="str">
        <f t="shared" si="85"/>
        <v/>
      </c>
      <c r="L608" s="55"/>
      <c r="M608" s="56">
        <f t="shared" si="86"/>
        <v>0</v>
      </c>
      <c r="N608" s="56">
        <f t="shared" si="87"/>
        <v>0</v>
      </c>
      <c r="O608" s="57"/>
      <c r="P608" s="40"/>
      <c r="Q608" s="52" t="str">
        <f>IF($D608="","",IF($K608&lt;&gt;"Balance Sheet / Clearing","-",IF(SUMPRODUCT(--(LEFT('7. Settlements'!$J$8:$J$107,7)=$A608),--('7. Settlements'!$M$8:$M$107="Tied out"))+SUMPRODUCT(--(LEFT('8. Transfers'!$H$9:$H$108,7)=$A608),--('8. Transfers'!$J$9:$J$108="Matched"))+SUMPRODUCT(--(LEFT('8. Transfers'!$I$9:$I$108,7)=$A608),--('8. Transfers'!$J$9:$J$108="Matched"))+IF($O608="",0,COUNTIFS('9. Payroll Allocation'!$B$234:$B$253,$O608,'9. Payroll Allocation'!$H$234:$H$253,"Tied out"))&gt;0,"Linked","MISSING DETAIL")))</f>
        <v/>
      </c>
      <c r="T608" s="58" t="str">
        <f t="shared" si="88"/>
        <v/>
      </c>
      <c r="U608" s="59" t="str">
        <f>IF($T608="","",COUNTIF($T$6:$T608,"?*"))</f>
        <v/>
      </c>
      <c r="V608" s="58" t="str">
        <f t="shared" si="89"/>
        <v/>
      </c>
    </row>
    <row r="609" spans="1:22" ht="12.95" customHeight="1" x14ac:dyDescent="0.25">
      <c r="A609" s="60" t="str">
        <f t="shared" si="81"/>
        <v/>
      </c>
      <c r="B609" s="37"/>
      <c r="C609" s="28"/>
      <c r="D609" s="35"/>
      <c r="E609" s="38"/>
      <c r="F609" s="38"/>
      <c r="G609" s="60" t="str">
        <f t="shared" si="82"/>
        <v/>
      </c>
      <c r="H609" s="61" t="str">
        <f t="shared" si="83"/>
        <v/>
      </c>
      <c r="I609" s="40"/>
      <c r="J609" s="62" t="str">
        <f t="shared" si="84"/>
        <v/>
      </c>
      <c r="K609" s="45" t="str">
        <f t="shared" si="85"/>
        <v/>
      </c>
      <c r="L609" s="55"/>
      <c r="M609" s="63">
        <f t="shared" si="86"/>
        <v>0</v>
      </c>
      <c r="N609" s="63">
        <f t="shared" si="87"/>
        <v>0</v>
      </c>
      <c r="O609" s="57"/>
      <c r="P609" s="40"/>
      <c r="Q609" s="60" t="str">
        <f>IF($D609="","",IF($K609&lt;&gt;"Balance Sheet / Clearing","-",IF(SUMPRODUCT(--(LEFT('7. Settlements'!$J$8:$J$107,7)=$A609),--('7. Settlements'!$M$8:$M$107="Tied out"))+SUMPRODUCT(--(LEFT('8. Transfers'!$H$9:$H$108,7)=$A609),--('8. Transfers'!$J$9:$J$108="Matched"))+SUMPRODUCT(--(LEFT('8. Transfers'!$I$9:$I$108,7)=$A609),--('8. Transfers'!$J$9:$J$108="Matched"))+IF($O609="",0,COUNTIFS('9. Payroll Allocation'!$B$234:$B$253,$O609,'9. Payroll Allocation'!$H$234:$H$253,"Tied out"))&gt;0,"Linked","MISSING DETAIL")))</f>
        <v/>
      </c>
      <c r="T609" s="58" t="str">
        <f t="shared" si="88"/>
        <v/>
      </c>
      <c r="U609" s="59" t="str">
        <f>IF($T609="","",COUNTIF($T$6:$T609,"?*"))</f>
        <v/>
      </c>
      <c r="V609" s="58" t="str">
        <f t="shared" si="89"/>
        <v/>
      </c>
    </row>
    <row r="610" spans="1:22" ht="12.95" customHeight="1" x14ac:dyDescent="0.25">
      <c r="A610" s="52" t="str">
        <f t="shared" si="81"/>
        <v/>
      </c>
      <c r="B610" s="37"/>
      <c r="C610" s="28"/>
      <c r="D610" s="35"/>
      <c r="E610" s="38"/>
      <c r="F610" s="38"/>
      <c r="G610" s="52" t="str">
        <f t="shared" si="82"/>
        <v/>
      </c>
      <c r="H610" s="53" t="str">
        <f t="shared" si="83"/>
        <v/>
      </c>
      <c r="I610" s="40"/>
      <c r="J610" s="54" t="str">
        <f t="shared" si="84"/>
        <v/>
      </c>
      <c r="K610" s="41" t="str">
        <f t="shared" si="85"/>
        <v/>
      </c>
      <c r="L610" s="55"/>
      <c r="M610" s="56">
        <f t="shared" si="86"/>
        <v>0</v>
      </c>
      <c r="N610" s="56">
        <f t="shared" si="87"/>
        <v>0</v>
      </c>
      <c r="O610" s="57"/>
      <c r="P610" s="40"/>
      <c r="Q610" s="52" t="str">
        <f>IF($D610="","",IF($K610&lt;&gt;"Balance Sheet / Clearing","-",IF(SUMPRODUCT(--(LEFT('7. Settlements'!$J$8:$J$107,7)=$A610),--('7. Settlements'!$M$8:$M$107="Tied out"))+SUMPRODUCT(--(LEFT('8. Transfers'!$H$9:$H$108,7)=$A610),--('8. Transfers'!$J$9:$J$108="Matched"))+SUMPRODUCT(--(LEFT('8. Transfers'!$I$9:$I$108,7)=$A610),--('8. Transfers'!$J$9:$J$108="Matched"))+IF($O610="",0,COUNTIFS('9. Payroll Allocation'!$B$234:$B$253,$O610,'9. Payroll Allocation'!$H$234:$H$253,"Tied out"))&gt;0,"Linked","MISSING DETAIL")))</f>
        <v/>
      </c>
      <c r="T610" s="58" t="str">
        <f t="shared" si="88"/>
        <v/>
      </c>
      <c r="U610" s="59" t="str">
        <f>IF($T610="","",COUNTIF($T$6:$T610,"?*"))</f>
        <v/>
      </c>
      <c r="V610" s="58" t="str">
        <f t="shared" si="89"/>
        <v/>
      </c>
    </row>
    <row r="611" spans="1:22" ht="12.95" customHeight="1" x14ac:dyDescent="0.25">
      <c r="A611" s="60" t="str">
        <f t="shared" si="81"/>
        <v/>
      </c>
      <c r="B611" s="37"/>
      <c r="C611" s="28"/>
      <c r="D611" s="35"/>
      <c r="E611" s="38"/>
      <c r="F611" s="38"/>
      <c r="G611" s="60" t="str">
        <f t="shared" si="82"/>
        <v/>
      </c>
      <c r="H611" s="61" t="str">
        <f t="shared" si="83"/>
        <v/>
      </c>
      <c r="I611" s="40"/>
      <c r="J611" s="62" t="str">
        <f t="shared" si="84"/>
        <v/>
      </c>
      <c r="K611" s="45" t="str">
        <f t="shared" si="85"/>
        <v/>
      </c>
      <c r="L611" s="55"/>
      <c r="M611" s="63">
        <f t="shared" si="86"/>
        <v>0</v>
      </c>
      <c r="N611" s="63">
        <f t="shared" si="87"/>
        <v>0</v>
      </c>
      <c r="O611" s="57"/>
      <c r="P611" s="40"/>
      <c r="Q611" s="60" t="str">
        <f>IF($D611="","",IF($K611&lt;&gt;"Balance Sheet / Clearing","-",IF(SUMPRODUCT(--(LEFT('7. Settlements'!$J$8:$J$107,7)=$A611),--('7. Settlements'!$M$8:$M$107="Tied out"))+SUMPRODUCT(--(LEFT('8. Transfers'!$H$9:$H$108,7)=$A611),--('8. Transfers'!$J$9:$J$108="Matched"))+SUMPRODUCT(--(LEFT('8. Transfers'!$I$9:$I$108,7)=$A611),--('8. Transfers'!$J$9:$J$108="Matched"))+IF($O611="",0,COUNTIFS('9. Payroll Allocation'!$B$234:$B$253,$O611,'9. Payroll Allocation'!$H$234:$H$253,"Tied out"))&gt;0,"Linked","MISSING DETAIL")))</f>
        <v/>
      </c>
      <c r="T611" s="58" t="str">
        <f t="shared" si="88"/>
        <v/>
      </c>
      <c r="U611" s="59" t="str">
        <f>IF($T611="","",COUNTIF($T$6:$T611,"?*"))</f>
        <v/>
      </c>
      <c r="V611" s="58" t="str">
        <f t="shared" si="89"/>
        <v/>
      </c>
    </row>
    <row r="612" spans="1:22" ht="12.95" customHeight="1" x14ac:dyDescent="0.25">
      <c r="A612" s="52" t="str">
        <f t="shared" si="81"/>
        <v/>
      </c>
      <c r="B612" s="37"/>
      <c r="C612" s="28"/>
      <c r="D612" s="35"/>
      <c r="E612" s="38"/>
      <c r="F612" s="38"/>
      <c r="G612" s="52" t="str">
        <f t="shared" si="82"/>
        <v/>
      </c>
      <c r="H612" s="53" t="str">
        <f t="shared" si="83"/>
        <v/>
      </c>
      <c r="I612" s="40"/>
      <c r="J612" s="54" t="str">
        <f t="shared" si="84"/>
        <v/>
      </c>
      <c r="K612" s="41" t="str">
        <f t="shared" si="85"/>
        <v/>
      </c>
      <c r="L612" s="55"/>
      <c r="M612" s="56">
        <f t="shared" si="86"/>
        <v>0</v>
      </c>
      <c r="N612" s="56">
        <f t="shared" si="87"/>
        <v>0</v>
      </c>
      <c r="O612" s="57"/>
      <c r="P612" s="40"/>
      <c r="Q612" s="52" t="str">
        <f>IF($D612="","",IF($K612&lt;&gt;"Balance Sheet / Clearing","-",IF(SUMPRODUCT(--(LEFT('7. Settlements'!$J$8:$J$107,7)=$A612),--('7. Settlements'!$M$8:$M$107="Tied out"))+SUMPRODUCT(--(LEFT('8. Transfers'!$H$9:$H$108,7)=$A612),--('8. Transfers'!$J$9:$J$108="Matched"))+SUMPRODUCT(--(LEFT('8. Transfers'!$I$9:$I$108,7)=$A612),--('8. Transfers'!$J$9:$J$108="Matched"))+IF($O612="",0,COUNTIFS('9. Payroll Allocation'!$B$234:$B$253,$O612,'9. Payroll Allocation'!$H$234:$H$253,"Tied out"))&gt;0,"Linked","MISSING DETAIL")))</f>
        <v/>
      </c>
      <c r="T612" s="58" t="str">
        <f t="shared" si="88"/>
        <v/>
      </c>
      <c r="U612" s="59" t="str">
        <f>IF($T612="","",COUNTIF($T$6:$T612,"?*"))</f>
        <v/>
      </c>
      <c r="V612" s="58" t="str">
        <f t="shared" si="89"/>
        <v/>
      </c>
    </row>
    <row r="613" spans="1:22" ht="12.95" customHeight="1" x14ac:dyDescent="0.25">
      <c r="A613" s="60" t="str">
        <f t="shared" si="81"/>
        <v/>
      </c>
      <c r="B613" s="37"/>
      <c r="C613" s="28"/>
      <c r="D613" s="35"/>
      <c r="E613" s="38"/>
      <c r="F613" s="38"/>
      <c r="G613" s="60" t="str">
        <f t="shared" si="82"/>
        <v/>
      </c>
      <c r="H613" s="61" t="str">
        <f t="shared" si="83"/>
        <v/>
      </c>
      <c r="I613" s="40"/>
      <c r="J613" s="62" t="str">
        <f t="shared" si="84"/>
        <v/>
      </c>
      <c r="K613" s="45" t="str">
        <f t="shared" si="85"/>
        <v/>
      </c>
      <c r="L613" s="55"/>
      <c r="M613" s="63">
        <f t="shared" si="86"/>
        <v>0</v>
      </c>
      <c r="N613" s="63">
        <f t="shared" si="87"/>
        <v>0</v>
      </c>
      <c r="O613" s="57"/>
      <c r="P613" s="40"/>
      <c r="Q613" s="60" t="str">
        <f>IF($D613="","",IF($K613&lt;&gt;"Balance Sheet / Clearing","-",IF(SUMPRODUCT(--(LEFT('7. Settlements'!$J$8:$J$107,7)=$A613),--('7. Settlements'!$M$8:$M$107="Tied out"))+SUMPRODUCT(--(LEFT('8. Transfers'!$H$9:$H$108,7)=$A613),--('8. Transfers'!$J$9:$J$108="Matched"))+SUMPRODUCT(--(LEFT('8. Transfers'!$I$9:$I$108,7)=$A613),--('8. Transfers'!$J$9:$J$108="Matched"))+IF($O613="",0,COUNTIFS('9. Payroll Allocation'!$B$234:$B$253,$O613,'9. Payroll Allocation'!$H$234:$H$253,"Tied out"))&gt;0,"Linked","MISSING DETAIL")))</f>
        <v/>
      </c>
      <c r="T613" s="58" t="str">
        <f t="shared" si="88"/>
        <v/>
      </c>
      <c r="U613" s="59" t="str">
        <f>IF($T613="","",COUNTIF($T$6:$T613,"?*"))</f>
        <v/>
      </c>
      <c r="V613" s="58" t="str">
        <f t="shared" si="89"/>
        <v/>
      </c>
    </row>
    <row r="614" spans="1:22" ht="12.95" customHeight="1" x14ac:dyDescent="0.25">
      <c r="A614" s="52" t="str">
        <f t="shared" si="81"/>
        <v/>
      </c>
      <c r="B614" s="37"/>
      <c r="C614" s="28"/>
      <c r="D614" s="35"/>
      <c r="E614" s="38"/>
      <c r="F614" s="38"/>
      <c r="G614" s="52" t="str">
        <f t="shared" si="82"/>
        <v/>
      </c>
      <c r="H614" s="53" t="str">
        <f t="shared" si="83"/>
        <v/>
      </c>
      <c r="I614" s="40"/>
      <c r="J614" s="54" t="str">
        <f t="shared" si="84"/>
        <v/>
      </c>
      <c r="K614" s="41" t="str">
        <f t="shared" si="85"/>
        <v/>
      </c>
      <c r="L614" s="55"/>
      <c r="M614" s="56">
        <f t="shared" si="86"/>
        <v>0</v>
      </c>
      <c r="N614" s="56">
        <f t="shared" si="87"/>
        <v>0</v>
      </c>
      <c r="O614" s="57"/>
      <c r="P614" s="40"/>
      <c r="Q614" s="52" t="str">
        <f>IF($D614="","",IF($K614&lt;&gt;"Balance Sheet / Clearing","-",IF(SUMPRODUCT(--(LEFT('7. Settlements'!$J$8:$J$107,7)=$A614),--('7. Settlements'!$M$8:$M$107="Tied out"))+SUMPRODUCT(--(LEFT('8. Transfers'!$H$9:$H$108,7)=$A614),--('8. Transfers'!$J$9:$J$108="Matched"))+SUMPRODUCT(--(LEFT('8. Transfers'!$I$9:$I$108,7)=$A614),--('8. Transfers'!$J$9:$J$108="Matched"))+IF($O614="",0,COUNTIFS('9. Payroll Allocation'!$B$234:$B$253,$O614,'9. Payroll Allocation'!$H$234:$H$253,"Tied out"))&gt;0,"Linked","MISSING DETAIL")))</f>
        <v/>
      </c>
      <c r="T614" s="58" t="str">
        <f t="shared" si="88"/>
        <v/>
      </c>
      <c r="U614" s="59" t="str">
        <f>IF($T614="","",COUNTIF($T$6:$T614,"?*"))</f>
        <v/>
      </c>
      <c r="V614" s="58" t="str">
        <f t="shared" si="89"/>
        <v/>
      </c>
    </row>
    <row r="615" spans="1:22" ht="12.95" customHeight="1" x14ac:dyDescent="0.25">
      <c r="A615" s="60" t="str">
        <f t="shared" si="81"/>
        <v/>
      </c>
      <c r="B615" s="37"/>
      <c r="C615" s="28"/>
      <c r="D615" s="35"/>
      <c r="E615" s="38"/>
      <c r="F615" s="38"/>
      <c r="G615" s="60" t="str">
        <f t="shared" si="82"/>
        <v/>
      </c>
      <c r="H615" s="61" t="str">
        <f t="shared" si="83"/>
        <v/>
      </c>
      <c r="I615" s="40"/>
      <c r="J615" s="62" t="str">
        <f t="shared" si="84"/>
        <v/>
      </c>
      <c r="K615" s="45" t="str">
        <f t="shared" si="85"/>
        <v/>
      </c>
      <c r="L615" s="55"/>
      <c r="M615" s="63">
        <f t="shared" si="86"/>
        <v>0</v>
      </c>
      <c r="N615" s="63">
        <f t="shared" si="87"/>
        <v>0</v>
      </c>
      <c r="O615" s="57"/>
      <c r="P615" s="40"/>
      <c r="Q615" s="60" t="str">
        <f>IF($D615="","",IF($K615&lt;&gt;"Balance Sheet / Clearing","-",IF(SUMPRODUCT(--(LEFT('7. Settlements'!$J$8:$J$107,7)=$A615),--('7. Settlements'!$M$8:$M$107="Tied out"))+SUMPRODUCT(--(LEFT('8. Transfers'!$H$9:$H$108,7)=$A615),--('8. Transfers'!$J$9:$J$108="Matched"))+SUMPRODUCT(--(LEFT('8. Transfers'!$I$9:$I$108,7)=$A615),--('8. Transfers'!$J$9:$J$108="Matched"))+IF($O615="",0,COUNTIFS('9. Payroll Allocation'!$B$234:$B$253,$O615,'9. Payroll Allocation'!$H$234:$H$253,"Tied out"))&gt;0,"Linked","MISSING DETAIL")))</f>
        <v/>
      </c>
      <c r="T615" s="58" t="str">
        <f t="shared" si="88"/>
        <v/>
      </c>
      <c r="U615" s="59" t="str">
        <f>IF($T615="","",COUNTIF($T$6:$T615,"?*"))</f>
        <v/>
      </c>
      <c r="V615" s="58" t="str">
        <f t="shared" si="89"/>
        <v/>
      </c>
    </row>
    <row r="616" spans="1:22" ht="12.95" customHeight="1" x14ac:dyDescent="0.25">
      <c r="A616" s="52" t="str">
        <f t="shared" si="81"/>
        <v/>
      </c>
      <c r="B616" s="37"/>
      <c r="C616" s="28"/>
      <c r="D616" s="35"/>
      <c r="E616" s="38"/>
      <c r="F616" s="38"/>
      <c r="G616" s="52" t="str">
        <f t="shared" si="82"/>
        <v/>
      </c>
      <c r="H616" s="53" t="str">
        <f t="shared" si="83"/>
        <v/>
      </c>
      <c r="I616" s="40"/>
      <c r="J616" s="54" t="str">
        <f t="shared" si="84"/>
        <v/>
      </c>
      <c r="K616" s="41" t="str">
        <f t="shared" si="85"/>
        <v/>
      </c>
      <c r="L616" s="55"/>
      <c r="M616" s="56">
        <f t="shared" si="86"/>
        <v>0</v>
      </c>
      <c r="N616" s="56">
        <f t="shared" si="87"/>
        <v>0</v>
      </c>
      <c r="O616" s="57"/>
      <c r="P616" s="40"/>
      <c r="Q616" s="52" t="str">
        <f>IF($D616="","",IF($K616&lt;&gt;"Balance Sheet / Clearing","-",IF(SUMPRODUCT(--(LEFT('7. Settlements'!$J$8:$J$107,7)=$A616),--('7. Settlements'!$M$8:$M$107="Tied out"))+SUMPRODUCT(--(LEFT('8. Transfers'!$H$9:$H$108,7)=$A616),--('8. Transfers'!$J$9:$J$108="Matched"))+SUMPRODUCT(--(LEFT('8. Transfers'!$I$9:$I$108,7)=$A616),--('8. Transfers'!$J$9:$J$108="Matched"))+IF($O616="",0,COUNTIFS('9. Payroll Allocation'!$B$234:$B$253,$O616,'9. Payroll Allocation'!$H$234:$H$253,"Tied out"))&gt;0,"Linked","MISSING DETAIL")))</f>
        <v/>
      </c>
      <c r="T616" s="58" t="str">
        <f t="shared" si="88"/>
        <v/>
      </c>
      <c r="U616" s="59" t="str">
        <f>IF($T616="","",COUNTIF($T$6:$T616,"?*"))</f>
        <v/>
      </c>
      <c r="V616" s="58" t="str">
        <f t="shared" si="89"/>
        <v/>
      </c>
    </row>
    <row r="617" spans="1:22" ht="12.95" customHeight="1" x14ac:dyDescent="0.25">
      <c r="A617" s="60" t="str">
        <f t="shared" si="81"/>
        <v/>
      </c>
      <c r="B617" s="37"/>
      <c r="C617" s="28"/>
      <c r="D617" s="35"/>
      <c r="E617" s="38"/>
      <c r="F617" s="38"/>
      <c r="G617" s="60" t="str">
        <f t="shared" si="82"/>
        <v/>
      </c>
      <c r="H617" s="61" t="str">
        <f t="shared" si="83"/>
        <v/>
      </c>
      <c r="I617" s="40"/>
      <c r="J617" s="62" t="str">
        <f t="shared" si="84"/>
        <v/>
      </c>
      <c r="K617" s="45" t="str">
        <f t="shared" si="85"/>
        <v/>
      </c>
      <c r="L617" s="55"/>
      <c r="M617" s="63">
        <f t="shared" si="86"/>
        <v>0</v>
      </c>
      <c r="N617" s="63">
        <f t="shared" si="87"/>
        <v>0</v>
      </c>
      <c r="O617" s="57"/>
      <c r="P617" s="40"/>
      <c r="Q617" s="60" t="str">
        <f>IF($D617="","",IF($K617&lt;&gt;"Balance Sheet / Clearing","-",IF(SUMPRODUCT(--(LEFT('7. Settlements'!$J$8:$J$107,7)=$A617),--('7. Settlements'!$M$8:$M$107="Tied out"))+SUMPRODUCT(--(LEFT('8. Transfers'!$H$9:$H$108,7)=$A617),--('8. Transfers'!$J$9:$J$108="Matched"))+SUMPRODUCT(--(LEFT('8. Transfers'!$I$9:$I$108,7)=$A617),--('8. Transfers'!$J$9:$J$108="Matched"))+IF($O617="",0,COUNTIFS('9. Payroll Allocation'!$B$234:$B$253,$O617,'9. Payroll Allocation'!$H$234:$H$253,"Tied out"))&gt;0,"Linked","MISSING DETAIL")))</f>
        <v/>
      </c>
      <c r="T617" s="58" t="str">
        <f t="shared" si="88"/>
        <v/>
      </c>
      <c r="U617" s="59" t="str">
        <f>IF($T617="","",COUNTIF($T$6:$T617,"?*"))</f>
        <v/>
      </c>
      <c r="V617" s="58" t="str">
        <f t="shared" si="89"/>
        <v/>
      </c>
    </row>
    <row r="618" spans="1:22" ht="12.95" customHeight="1" x14ac:dyDescent="0.25">
      <c r="A618" s="52" t="str">
        <f t="shared" si="81"/>
        <v/>
      </c>
      <c r="B618" s="37"/>
      <c r="C618" s="28"/>
      <c r="D618" s="35"/>
      <c r="E618" s="38"/>
      <c r="F618" s="38"/>
      <c r="G618" s="52" t="str">
        <f t="shared" si="82"/>
        <v/>
      </c>
      <c r="H618" s="53" t="str">
        <f t="shared" si="83"/>
        <v/>
      </c>
      <c r="I618" s="40"/>
      <c r="J618" s="54" t="str">
        <f t="shared" si="84"/>
        <v/>
      </c>
      <c r="K618" s="41" t="str">
        <f t="shared" si="85"/>
        <v/>
      </c>
      <c r="L618" s="55"/>
      <c r="M618" s="56">
        <f t="shared" si="86"/>
        <v>0</v>
      </c>
      <c r="N618" s="56">
        <f t="shared" si="87"/>
        <v>0</v>
      </c>
      <c r="O618" s="57"/>
      <c r="P618" s="40"/>
      <c r="Q618" s="52" t="str">
        <f>IF($D618="","",IF($K618&lt;&gt;"Balance Sheet / Clearing","-",IF(SUMPRODUCT(--(LEFT('7. Settlements'!$J$8:$J$107,7)=$A618),--('7. Settlements'!$M$8:$M$107="Tied out"))+SUMPRODUCT(--(LEFT('8. Transfers'!$H$9:$H$108,7)=$A618),--('8. Transfers'!$J$9:$J$108="Matched"))+SUMPRODUCT(--(LEFT('8. Transfers'!$I$9:$I$108,7)=$A618),--('8. Transfers'!$J$9:$J$108="Matched"))+IF($O618="",0,COUNTIFS('9. Payroll Allocation'!$B$234:$B$253,$O618,'9. Payroll Allocation'!$H$234:$H$253,"Tied out"))&gt;0,"Linked","MISSING DETAIL")))</f>
        <v/>
      </c>
      <c r="T618" s="58" t="str">
        <f t="shared" si="88"/>
        <v/>
      </c>
      <c r="U618" s="59" t="str">
        <f>IF($T618="","",COUNTIF($T$6:$T618,"?*"))</f>
        <v/>
      </c>
      <c r="V618" s="58" t="str">
        <f t="shared" si="89"/>
        <v/>
      </c>
    </row>
    <row r="619" spans="1:22" ht="12.95" customHeight="1" x14ac:dyDescent="0.25">
      <c r="A619" s="60" t="str">
        <f t="shared" si="81"/>
        <v/>
      </c>
      <c r="B619" s="37"/>
      <c r="C619" s="28"/>
      <c r="D619" s="35"/>
      <c r="E619" s="38"/>
      <c r="F619" s="38"/>
      <c r="G619" s="60" t="str">
        <f t="shared" si="82"/>
        <v/>
      </c>
      <c r="H619" s="61" t="str">
        <f t="shared" si="83"/>
        <v/>
      </c>
      <c r="I619" s="40"/>
      <c r="J619" s="62" t="str">
        <f t="shared" si="84"/>
        <v/>
      </c>
      <c r="K619" s="45" t="str">
        <f t="shared" si="85"/>
        <v/>
      </c>
      <c r="L619" s="55"/>
      <c r="M619" s="63">
        <f t="shared" si="86"/>
        <v>0</v>
      </c>
      <c r="N619" s="63">
        <f t="shared" si="87"/>
        <v>0</v>
      </c>
      <c r="O619" s="57"/>
      <c r="P619" s="40"/>
      <c r="Q619" s="60" t="str">
        <f>IF($D619="","",IF($K619&lt;&gt;"Balance Sheet / Clearing","-",IF(SUMPRODUCT(--(LEFT('7. Settlements'!$J$8:$J$107,7)=$A619),--('7. Settlements'!$M$8:$M$107="Tied out"))+SUMPRODUCT(--(LEFT('8. Transfers'!$H$9:$H$108,7)=$A619),--('8. Transfers'!$J$9:$J$108="Matched"))+SUMPRODUCT(--(LEFT('8. Transfers'!$I$9:$I$108,7)=$A619),--('8. Transfers'!$J$9:$J$108="Matched"))+IF($O619="",0,COUNTIFS('9. Payroll Allocation'!$B$234:$B$253,$O619,'9. Payroll Allocation'!$H$234:$H$253,"Tied out"))&gt;0,"Linked","MISSING DETAIL")))</f>
        <v/>
      </c>
      <c r="T619" s="58" t="str">
        <f t="shared" si="88"/>
        <v/>
      </c>
      <c r="U619" s="59" t="str">
        <f>IF($T619="","",COUNTIF($T$6:$T619,"?*"))</f>
        <v/>
      </c>
      <c r="V619" s="58" t="str">
        <f t="shared" si="89"/>
        <v/>
      </c>
    </row>
    <row r="620" spans="1:22" ht="12.95" customHeight="1" x14ac:dyDescent="0.25">
      <c r="A620" s="52" t="str">
        <f t="shared" si="81"/>
        <v/>
      </c>
      <c r="B620" s="37"/>
      <c r="C620" s="28"/>
      <c r="D620" s="35"/>
      <c r="E620" s="38"/>
      <c r="F620" s="38"/>
      <c r="G620" s="52" t="str">
        <f t="shared" si="82"/>
        <v/>
      </c>
      <c r="H620" s="53" t="str">
        <f t="shared" si="83"/>
        <v/>
      </c>
      <c r="I620" s="40"/>
      <c r="J620" s="54" t="str">
        <f t="shared" si="84"/>
        <v/>
      </c>
      <c r="K620" s="41" t="str">
        <f t="shared" si="85"/>
        <v/>
      </c>
      <c r="L620" s="55"/>
      <c r="M620" s="56">
        <f t="shared" si="86"/>
        <v>0</v>
      </c>
      <c r="N620" s="56">
        <f t="shared" si="87"/>
        <v>0</v>
      </c>
      <c r="O620" s="57"/>
      <c r="P620" s="40"/>
      <c r="Q620" s="52" t="str">
        <f>IF($D620="","",IF($K620&lt;&gt;"Balance Sheet / Clearing","-",IF(SUMPRODUCT(--(LEFT('7. Settlements'!$J$8:$J$107,7)=$A620),--('7. Settlements'!$M$8:$M$107="Tied out"))+SUMPRODUCT(--(LEFT('8. Transfers'!$H$9:$H$108,7)=$A620),--('8. Transfers'!$J$9:$J$108="Matched"))+SUMPRODUCT(--(LEFT('8. Transfers'!$I$9:$I$108,7)=$A620),--('8. Transfers'!$J$9:$J$108="Matched"))+IF($O620="",0,COUNTIFS('9. Payroll Allocation'!$B$234:$B$253,$O620,'9. Payroll Allocation'!$H$234:$H$253,"Tied out"))&gt;0,"Linked","MISSING DETAIL")))</f>
        <v/>
      </c>
      <c r="T620" s="58" t="str">
        <f t="shared" si="88"/>
        <v/>
      </c>
      <c r="U620" s="59" t="str">
        <f>IF($T620="","",COUNTIF($T$6:$T620,"?*"))</f>
        <v/>
      </c>
      <c r="V620" s="58" t="str">
        <f t="shared" si="89"/>
        <v/>
      </c>
    </row>
    <row r="621" spans="1:22" ht="12.95" customHeight="1" x14ac:dyDescent="0.25">
      <c r="A621" s="60" t="str">
        <f t="shared" si="81"/>
        <v/>
      </c>
      <c r="B621" s="37"/>
      <c r="C621" s="28"/>
      <c r="D621" s="35"/>
      <c r="E621" s="38"/>
      <c r="F621" s="38"/>
      <c r="G621" s="60" t="str">
        <f t="shared" si="82"/>
        <v/>
      </c>
      <c r="H621" s="61" t="str">
        <f t="shared" si="83"/>
        <v/>
      </c>
      <c r="I621" s="40"/>
      <c r="J621" s="62" t="str">
        <f t="shared" si="84"/>
        <v/>
      </c>
      <c r="K621" s="45" t="str">
        <f t="shared" si="85"/>
        <v/>
      </c>
      <c r="L621" s="55"/>
      <c r="M621" s="63">
        <f t="shared" si="86"/>
        <v>0</v>
      </c>
      <c r="N621" s="63">
        <f t="shared" si="87"/>
        <v>0</v>
      </c>
      <c r="O621" s="57"/>
      <c r="P621" s="40"/>
      <c r="Q621" s="60" t="str">
        <f>IF($D621="","",IF($K621&lt;&gt;"Balance Sheet / Clearing","-",IF(SUMPRODUCT(--(LEFT('7. Settlements'!$J$8:$J$107,7)=$A621),--('7. Settlements'!$M$8:$M$107="Tied out"))+SUMPRODUCT(--(LEFT('8. Transfers'!$H$9:$H$108,7)=$A621),--('8. Transfers'!$J$9:$J$108="Matched"))+SUMPRODUCT(--(LEFT('8. Transfers'!$I$9:$I$108,7)=$A621),--('8. Transfers'!$J$9:$J$108="Matched"))+IF($O621="",0,COUNTIFS('9. Payroll Allocation'!$B$234:$B$253,$O621,'9. Payroll Allocation'!$H$234:$H$253,"Tied out"))&gt;0,"Linked","MISSING DETAIL")))</f>
        <v/>
      </c>
      <c r="T621" s="58" t="str">
        <f t="shared" si="88"/>
        <v/>
      </c>
      <c r="U621" s="59" t="str">
        <f>IF($T621="","",COUNTIF($T$6:$T621,"?*"))</f>
        <v/>
      </c>
      <c r="V621" s="58" t="str">
        <f t="shared" si="89"/>
        <v/>
      </c>
    </row>
    <row r="622" spans="1:22" ht="12.95" customHeight="1" x14ac:dyDescent="0.25">
      <c r="A622" s="52" t="str">
        <f t="shared" si="81"/>
        <v/>
      </c>
      <c r="B622" s="37"/>
      <c r="C622" s="28"/>
      <c r="D622" s="35"/>
      <c r="E622" s="38"/>
      <c r="F622" s="38"/>
      <c r="G622" s="52" t="str">
        <f t="shared" si="82"/>
        <v/>
      </c>
      <c r="H622" s="53" t="str">
        <f t="shared" si="83"/>
        <v/>
      </c>
      <c r="I622" s="40"/>
      <c r="J622" s="54" t="str">
        <f t="shared" si="84"/>
        <v/>
      </c>
      <c r="K622" s="41" t="str">
        <f t="shared" si="85"/>
        <v/>
      </c>
      <c r="L622" s="55"/>
      <c r="M622" s="56">
        <f t="shared" si="86"/>
        <v>0</v>
      </c>
      <c r="N622" s="56">
        <f t="shared" si="87"/>
        <v>0</v>
      </c>
      <c r="O622" s="57"/>
      <c r="P622" s="40"/>
      <c r="Q622" s="52" t="str">
        <f>IF($D622="","",IF($K622&lt;&gt;"Balance Sheet / Clearing","-",IF(SUMPRODUCT(--(LEFT('7. Settlements'!$J$8:$J$107,7)=$A622),--('7. Settlements'!$M$8:$M$107="Tied out"))+SUMPRODUCT(--(LEFT('8. Transfers'!$H$9:$H$108,7)=$A622),--('8. Transfers'!$J$9:$J$108="Matched"))+SUMPRODUCT(--(LEFT('8. Transfers'!$I$9:$I$108,7)=$A622),--('8. Transfers'!$J$9:$J$108="Matched"))+IF($O622="",0,COUNTIFS('9. Payroll Allocation'!$B$234:$B$253,$O622,'9. Payroll Allocation'!$H$234:$H$253,"Tied out"))&gt;0,"Linked","MISSING DETAIL")))</f>
        <v/>
      </c>
      <c r="T622" s="58" t="str">
        <f t="shared" si="88"/>
        <v/>
      </c>
      <c r="U622" s="59" t="str">
        <f>IF($T622="","",COUNTIF($T$6:$T622,"?*"))</f>
        <v/>
      </c>
      <c r="V622" s="58" t="str">
        <f t="shared" si="89"/>
        <v/>
      </c>
    </row>
    <row r="623" spans="1:22" ht="12.95" customHeight="1" x14ac:dyDescent="0.25">
      <c r="A623" s="60" t="str">
        <f t="shared" si="81"/>
        <v/>
      </c>
      <c r="B623" s="37"/>
      <c r="C623" s="28"/>
      <c r="D623" s="35"/>
      <c r="E623" s="38"/>
      <c r="F623" s="38"/>
      <c r="G623" s="60" t="str">
        <f t="shared" si="82"/>
        <v/>
      </c>
      <c r="H623" s="61" t="str">
        <f t="shared" si="83"/>
        <v/>
      </c>
      <c r="I623" s="40"/>
      <c r="J623" s="62" t="str">
        <f t="shared" si="84"/>
        <v/>
      </c>
      <c r="K623" s="45" t="str">
        <f t="shared" si="85"/>
        <v/>
      </c>
      <c r="L623" s="55"/>
      <c r="M623" s="63">
        <f t="shared" si="86"/>
        <v>0</v>
      </c>
      <c r="N623" s="63">
        <f t="shared" si="87"/>
        <v>0</v>
      </c>
      <c r="O623" s="57"/>
      <c r="P623" s="40"/>
      <c r="Q623" s="60" t="str">
        <f>IF($D623="","",IF($K623&lt;&gt;"Balance Sheet / Clearing","-",IF(SUMPRODUCT(--(LEFT('7. Settlements'!$J$8:$J$107,7)=$A623),--('7. Settlements'!$M$8:$M$107="Tied out"))+SUMPRODUCT(--(LEFT('8. Transfers'!$H$9:$H$108,7)=$A623),--('8. Transfers'!$J$9:$J$108="Matched"))+SUMPRODUCT(--(LEFT('8. Transfers'!$I$9:$I$108,7)=$A623),--('8. Transfers'!$J$9:$J$108="Matched"))+IF($O623="",0,COUNTIFS('9. Payroll Allocation'!$B$234:$B$253,$O623,'9. Payroll Allocation'!$H$234:$H$253,"Tied out"))&gt;0,"Linked","MISSING DETAIL")))</f>
        <v/>
      </c>
      <c r="T623" s="58" t="str">
        <f t="shared" si="88"/>
        <v/>
      </c>
      <c r="U623" s="59" t="str">
        <f>IF($T623="","",COUNTIF($T$6:$T623,"?*"))</f>
        <v/>
      </c>
      <c r="V623" s="58" t="str">
        <f t="shared" si="89"/>
        <v/>
      </c>
    </row>
    <row r="624" spans="1:22" ht="12.95" customHeight="1" x14ac:dyDescent="0.25">
      <c r="A624" s="52" t="str">
        <f t="shared" si="81"/>
        <v/>
      </c>
      <c r="B624" s="37"/>
      <c r="C624" s="28"/>
      <c r="D624" s="35"/>
      <c r="E624" s="38"/>
      <c r="F624" s="38"/>
      <c r="G624" s="52" t="str">
        <f t="shared" si="82"/>
        <v/>
      </c>
      <c r="H624" s="53" t="str">
        <f t="shared" si="83"/>
        <v/>
      </c>
      <c r="I624" s="40"/>
      <c r="J624" s="54" t="str">
        <f t="shared" si="84"/>
        <v/>
      </c>
      <c r="K624" s="41" t="str">
        <f t="shared" si="85"/>
        <v/>
      </c>
      <c r="L624" s="55"/>
      <c r="M624" s="56">
        <f t="shared" si="86"/>
        <v>0</v>
      </c>
      <c r="N624" s="56">
        <f t="shared" si="87"/>
        <v>0</v>
      </c>
      <c r="O624" s="57"/>
      <c r="P624" s="40"/>
      <c r="Q624" s="52" t="str">
        <f>IF($D624="","",IF($K624&lt;&gt;"Balance Sheet / Clearing","-",IF(SUMPRODUCT(--(LEFT('7. Settlements'!$J$8:$J$107,7)=$A624),--('7. Settlements'!$M$8:$M$107="Tied out"))+SUMPRODUCT(--(LEFT('8. Transfers'!$H$9:$H$108,7)=$A624),--('8. Transfers'!$J$9:$J$108="Matched"))+SUMPRODUCT(--(LEFT('8. Transfers'!$I$9:$I$108,7)=$A624),--('8. Transfers'!$J$9:$J$108="Matched"))+IF($O624="",0,COUNTIFS('9. Payroll Allocation'!$B$234:$B$253,$O624,'9. Payroll Allocation'!$H$234:$H$253,"Tied out"))&gt;0,"Linked","MISSING DETAIL")))</f>
        <v/>
      </c>
      <c r="T624" s="58" t="str">
        <f t="shared" si="88"/>
        <v/>
      </c>
      <c r="U624" s="59" t="str">
        <f>IF($T624="","",COUNTIF($T$6:$T624,"?*"))</f>
        <v/>
      </c>
      <c r="V624" s="58" t="str">
        <f t="shared" si="89"/>
        <v/>
      </c>
    </row>
    <row r="625" spans="1:22" ht="12.95" customHeight="1" x14ac:dyDescent="0.25">
      <c r="A625" s="60" t="str">
        <f t="shared" si="81"/>
        <v/>
      </c>
      <c r="B625" s="37"/>
      <c r="C625" s="28"/>
      <c r="D625" s="35"/>
      <c r="E625" s="38"/>
      <c r="F625" s="38"/>
      <c r="G625" s="60" t="str">
        <f t="shared" si="82"/>
        <v/>
      </c>
      <c r="H625" s="61" t="str">
        <f t="shared" si="83"/>
        <v/>
      </c>
      <c r="I625" s="40"/>
      <c r="J625" s="62" t="str">
        <f t="shared" si="84"/>
        <v/>
      </c>
      <c r="K625" s="45" t="str">
        <f t="shared" si="85"/>
        <v/>
      </c>
      <c r="L625" s="55"/>
      <c r="M625" s="63">
        <f t="shared" si="86"/>
        <v>0</v>
      </c>
      <c r="N625" s="63">
        <f t="shared" si="87"/>
        <v>0</v>
      </c>
      <c r="O625" s="57"/>
      <c r="P625" s="40"/>
      <c r="Q625" s="60" t="str">
        <f>IF($D625="","",IF($K625&lt;&gt;"Balance Sheet / Clearing","-",IF(SUMPRODUCT(--(LEFT('7. Settlements'!$J$8:$J$107,7)=$A625),--('7. Settlements'!$M$8:$M$107="Tied out"))+SUMPRODUCT(--(LEFT('8. Transfers'!$H$9:$H$108,7)=$A625),--('8. Transfers'!$J$9:$J$108="Matched"))+SUMPRODUCT(--(LEFT('8. Transfers'!$I$9:$I$108,7)=$A625),--('8. Transfers'!$J$9:$J$108="Matched"))+IF($O625="",0,COUNTIFS('9. Payroll Allocation'!$B$234:$B$253,$O625,'9. Payroll Allocation'!$H$234:$H$253,"Tied out"))&gt;0,"Linked","MISSING DETAIL")))</f>
        <v/>
      </c>
      <c r="T625" s="58" t="str">
        <f t="shared" si="88"/>
        <v/>
      </c>
      <c r="U625" s="59" t="str">
        <f>IF($T625="","",COUNTIF($T$6:$T625,"?*"))</f>
        <v/>
      </c>
      <c r="V625" s="58" t="str">
        <f t="shared" si="89"/>
        <v/>
      </c>
    </row>
    <row r="626" spans="1:22" ht="12.95" customHeight="1" x14ac:dyDescent="0.25">
      <c r="A626" s="52" t="str">
        <f t="shared" si="81"/>
        <v/>
      </c>
      <c r="B626" s="37"/>
      <c r="C626" s="28"/>
      <c r="D626" s="35"/>
      <c r="E626" s="38"/>
      <c r="F626" s="38"/>
      <c r="G626" s="52" t="str">
        <f t="shared" si="82"/>
        <v/>
      </c>
      <c r="H626" s="53" t="str">
        <f t="shared" si="83"/>
        <v/>
      </c>
      <c r="I626" s="40"/>
      <c r="J626" s="54" t="str">
        <f t="shared" si="84"/>
        <v/>
      </c>
      <c r="K626" s="41" t="str">
        <f t="shared" si="85"/>
        <v/>
      </c>
      <c r="L626" s="55"/>
      <c r="M626" s="56">
        <f t="shared" si="86"/>
        <v>0</v>
      </c>
      <c r="N626" s="56">
        <f t="shared" si="87"/>
        <v>0</v>
      </c>
      <c r="O626" s="57"/>
      <c r="P626" s="40"/>
      <c r="Q626" s="52" t="str">
        <f>IF($D626="","",IF($K626&lt;&gt;"Balance Sheet / Clearing","-",IF(SUMPRODUCT(--(LEFT('7. Settlements'!$J$8:$J$107,7)=$A626),--('7. Settlements'!$M$8:$M$107="Tied out"))+SUMPRODUCT(--(LEFT('8. Transfers'!$H$9:$H$108,7)=$A626),--('8. Transfers'!$J$9:$J$108="Matched"))+SUMPRODUCT(--(LEFT('8. Transfers'!$I$9:$I$108,7)=$A626),--('8. Transfers'!$J$9:$J$108="Matched"))+IF($O626="",0,COUNTIFS('9. Payroll Allocation'!$B$234:$B$253,$O626,'9. Payroll Allocation'!$H$234:$H$253,"Tied out"))&gt;0,"Linked","MISSING DETAIL")))</f>
        <v/>
      </c>
      <c r="T626" s="58" t="str">
        <f t="shared" si="88"/>
        <v/>
      </c>
      <c r="U626" s="59" t="str">
        <f>IF($T626="","",COUNTIF($T$6:$T626,"?*"))</f>
        <v/>
      </c>
      <c r="V626" s="58" t="str">
        <f t="shared" si="89"/>
        <v/>
      </c>
    </row>
    <row r="627" spans="1:22" ht="12.95" customHeight="1" x14ac:dyDescent="0.25">
      <c r="A627" s="60" t="str">
        <f t="shared" si="81"/>
        <v/>
      </c>
      <c r="B627" s="37"/>
      <c r="C627" s="28"/>
      <c r="D627" s="35"/>
      <c r="E627" s="38"/>
      <c r="F627" s="38"/>
      <c r="G627" s="60" t="str">
        <f t="shared" si="82"/>
        <v/>
      </c>
      <c r="H627" s="61" t="str">
        <f t="shared" si="83"/>
        <v/>
      </c>
      <c r="I627" s="40"/>
      <c r="J627" s="62" t="str">
        <f t="shared" si="84"/>
        <v/>
      </c>
      <c r="K627" s="45" t="str">
        <f t="shared" si="85"/>
        <v/>
      </c>
      <c r="L627" s="55"/>
      <c r="M627" s="63">
        <f t="shared" si="86"/>
        <v>0</v>
      </c>
      <c r="N627" s="63">
        <f t="shared" si="87"/>
        <v>0</v>
      </c>
      <c r="O627" s="57"/>
      <c r="P627" s="40"/>
      <c r="Q627" s="60" t="str">
        <f>IF($D627="","",IF($K627&lt;&gt;"Balance Sheet / Clearing","-",IF(SUMPRODUCT(--(LEFT('7. Settlements'!$J$8:$J$107,7)=$A627),--('7. Settlements'!$M$8:$M$107="Tied out"))+SUMPRODUCT(--(LEFT('8. Transfers'!$H$9:$H$108,7)=$A627),--('8. Transfers'!$J$9:$J$108="Matched"))+SUMPRODUCT(--(LEFT('8. Transfers'!$I$9:$I$108,7)=$A627),--('8. Transfers'!$J$9:$J$108="Matched"))+IF($O627="",0,COUNTIFS('9. Payroll Allocation'!$B$234:$B$253,$O627,'9. Payroll Allocation'!$H$234:$H$253,"Tied out"))&gt;0,"Linked","MISSING DETAIL")))</f>
        <v/>
      </c>
      <c r="T627" s="58" t="str">
        <f t="shared" si="88"/>
        <v/>
      </c>
      <c r="U627" s="59" t="str">
        <f>IF($T627="","",COUNTIF($T$6:$T627,"?*"))</f>
        <v/>
      </c>
      <c r="V627" s="58" t="str">
        <f t="shared" si="89"/>
        <v/>
      </c>
    </row>
    <row r="628" spans="1:22" ht="12.95" customHeight="1" x14ac:dyDescent="0.25">
      <c r="A628" s="52" t="str">
        <f t="shared" si="81"/>
        <v/>
      </c>
      <c r="B628" s="37"/>
      <c r="C628" s="28"/>
      <c r="D628" s="35"/>
      <c r="E628" s="38"/>
      <c r="F628" s="38"/>
      <c r="G628" s="52" t="str">
        <f t="shared" si="82"/>
        <v/>
      </c>
      <c r="H628" s="53" t="str">
        <f t="shared" si="83"/>
        <v/>
      </c>
      <c r="I628" s="40"/>
      <c r="J628" s="54" t="str">
        <f t="shared" si="84"/>
        <v/>
      </c>
      <c r="K628" s="41" t="str">
        <f t="shared" si="85"/>
        <v/>
      </c>
      <c r="L628" s="55"/>
      <c r="M628" s="56">
        <f t="shared" si="86"/>
        <v>0</v>
      </c>
      <c r="N628" s="56">
        <f t="shared" si="87"/>
        <v>0</v>
      </c>
      <c r="O628" s="57"/>
      <c r="P628" s="40"/>
      <c r="Q628" s="52" t="str">
        <f>IF($D628="","",IF($K628&lt;&gt;"Balance Sheet / Clearing","-",IF(SUMPRODUCT(--(LEFT('7. Settlements'!$J$8:$J$107,7)=$A628),--('7. Settlements'!$M$8:$M$107="Tied out"))+SUMPRODUCT(--(LEFT('8. Transfers'!$H$9:$H$108,7)=$A628),--('8. Transfers'!$J$9:$J$108="Matched"))+SUMPRODUCT(--(LEFT('8. Transfers'!$I$9:$I$108,7)=$A628),--('8. Transfers'!$J$9:$J$108="Matched"))+IF($O628="",0,COUNTIFS('9. Payroll Allocation'!$B$234:$B$253,$O628,'9. Payroll Allocation'!$H$234:$H$253,"Tied out"))&gt;0,"Linked","MISSING DETAIL")))</f>
        <v/>
      </c>
      <c r="T628" s="58" t="str">
        <f t="shared" si="88"/>
        <v/>
      </c>
      <c r="U628" s="59" t="str">
        <f>IF($T628="","",COUNTIF($T$6:$T628,"?*"))</f>
        <v/>
      </c>
      <c r="V628" s="58" t="str">
        <f t="shared" si="89"/>
        <v/>
      </c>
    </row>
    <row r="629" spans="1:22" ht="12.95" customHeight="1" x14ac:dyDescent="0.25">
      <c r="A629" s="60" t="str">
        <f t="shared" si="81"/>
        <v/>
      </c>
      <c r="B629" s="37"/>
      <c r="C629" s="28"/>
      <c r="D629" s="35"/>
      <c r="E629" s="38"/>
      <c r="F629" s="38"/>
      <c r="G629" s="60" t="str">
        <f t="shared" si="82"/>
        <v/>
      </c>
      <c r="H629" s="61" t="str">
        <f t="shared" si="83"/>
        <v/>
      </c>
      <c r="I629" s="40"/>
      <c r="J629" s="62" t="str">
        <f t="shared" si="84"/>
        <v/>
      </c>
      <c r="K629" s="45" t="str">
        <f t="shared" si="85"/>
        <v/>
      </c>
      <c r="L629" s="55"/>
      <c r="M629" s="63">
        <f t="shared" si="86"/>
        <v>0</v>
      </c>
      <c r="N629" s="63">
        <f t="shared" si="87"/>
        <v>0</v>
      </c>
      <c r="O629" s="57"/>
      <c r="P629" s="40"/>
      <c r="Q629" s="60" t="str">
        <f>IF($D629="","",IF($K629&lt;&gt;"Balance Sheet / Clearing","-",IF(SUMPRODUCT(--(LEFT('7. Settlements'!$J$8:$J$107,7)=$A629),--('7. Settlements'!$M$8:$M$107="Tied out"))+SUMPRODUCT(--(LEFT('8. Transfers'!$H$9:$H$108,7)=$A629),--('8. Transfers'!$J$9:$J$108="Matched"))+SUMPRODUCT(--(LEFT('8. Transfers'!$I$9:$I$108,7)=$A629),--('8. Transfers'!$J$9:$J$108="Matched"))+IF($O629="",0,COUNTIFS('9. Payroll Allocation'!$B$234:$B$253,$O629,'9. Payroll Allocation'!$H$234:$H$253,"Tied out"))&gt;0,"Linked","MISSING DETAIL")))</f>
        <v/>
      </c>
      <c r="T629" s="58" t="str">
        <f t="shared" si="88"/>
        <v/>
      </c>
      <c r="U629" s="59" t="str">
        <f>IF($T629="","",COUNTIF($T$6:$T629,"?*"))</f>
        <v/>
      </c>
      <c r="V629" s="58" t="str">
        <f t="shared" si="89"/>
        <v/>
      </c>
    </row>
    <row r="630" spans="1:22" ht="12.95" customHeight="1" x14ac:dyDescent="0.25">
      <c r="A630" s="52" t="str">
        <f t="shared" si="81"/>
        <v/>
      </c>
      <c r="B630" s="37"/>
      <c r="C630" s="28"/>
      <c r="D630" s="35"/>
      <c r="E630" s="38"/>
      <c r="F630" s="38"/>
      <c r="G630" s="52" t="str">
        <f t="shared" si="82"/>
        <v/>
      </c>
      <c r="H630" s="53" t="str">
        <f t="shared" si="83"/>
        <v/>
      </c>
      <c r="I630" s="40"/>
      <c r="J630" s="54" t="str">
        <f t="shared" si="84"/>
        <v/>
      </c>
      <c r="K630" s="41" t="str">
        <f t="shared" si="85"/>
        <v/>
      </c>
      <c r="L630" s="55"/>
      <c r="M630" s="56">
        <f t="shared" si="86"/>
        <v>0</v>
      </c>
      <c r="N630" s="56">
        <f t="shared" si="87"/>
        <v>0</v>
      </c>
      <c r="O630" s="57"/>
      <c r="P630" s="40"/>
      <c r="Q630" s="52" t="str">
        <f>IF($D630="","",IF($K630&lt;&gt;"Balance Sheet / Clearing","-",IF(SUMPRODUCT(--(LEFT('7. Settlements'!$J$8:$J$107,7)=$A630),--('7. Settlements'!$M$8:$M$107="Tied out"))+SUMPRODUCT(--(LEFT('8. Transfers'!$H$9:$H$108,7)=$A630),--('8. Transfers'!$J$9:$J$108="Matched"))+SUMPRODUCT(--(LEFT('8. Transfers'!$I$9:$I$108,7)=$A630),--('8. Transfers'!$J$9:$J$108="Matched"))+IF($O630="",0,COUNTIFS('9. Payroll Allocation'!$B$234:$B$253,$O630,'9. Payroll Allocation'!$H$234:$H$253,"Tied out"))&gt;0,"Linked","MISSING DETAIL")))</f>
        <v/>
      </c>
      <c r="T630" s="58" t="str">
        <f t="shared" si="88"/>
        <v/>
      </c>
      <c r="U630" s="59" t="str">
        <f>IF($T630="","",COUNTIF($T$6:$T630,"?*"))</f>
        <v/>
      </c>
      <c r="V630" s="58" t="str">
        <f t="shared" si="89"/>
        <v/>
      </c>
    </row>
    <row r="631" spans="1:22" ht="12.95" customHeight="1" x14ac:dyDescent="0.25">
      <c r="A631" s="60" t="str">
        <f t="shared" si="81"/>
        <v/>
      </c>
      <c r="B631" s="37"/>
      <c r="C631" s="28"/>
      <c r="D631" s="35"/>
      <c r="E631" s="38"/>
      <c r="F631" s="38"/>
      <c r="G631" s="60" t="str">
        <f t="shared" si="82"/>
        <v/>
      </c>
      <c r="H631" s="61" t="str">
        <f t="shared" si="83"/>
        <v/>
      </c>
      <c r="I631" s="40"/>
      <c r="J631" s="62" t="str">
        <f t="shared" si="84"/>
        <v/>
      </c>
      <c r="K631" s="45" t="str">
        <f t="shared" si="85"/>
        <v/>
      </c>
      <c r="L631" s="55"/>
      <c r="M631" s="63">
        <f t="shared" si="86"/>
        <v>0</v>
      </c>
      <c r="N631" s="63">
        <f t="shared" si="87"/>
        <v>0</v>
      </c>
      <c r="O631" s="57"/>
      <c r="P631" s="40"/>
      <c r="Q631" s="60" t="str">
        <f>IF($D631="","",IF($K631&lt;&gt;"Balance Sheet / Clearing","-",IF(SUMPRODUCT(--(LEFT('7. Settlements'!$J$8:$J$107,7)=$A631),--('7. Settlements'!$M$8:$M$107="Tied out"))+SUMPRODUCT(--(LEFT('8. Transfers'!$H$9:$H$108,7)=$A631),--('8. Transfers'!$J$9:$J$108="Matched"))+SUMPRODUCT(--(LEFT('8. Transfers'!$I$9:$I$108,7)=$A631),--('8. Transfers'!$J$9:$J$108="Matched"))+IF($O631="",0,COUNTIFS('9. Payroll Allocation'!$B$234:$B$253,$O631,'9. Payroll Allocation'!$H$234:$H$253,"Tied out"))&gt;0,"Linked","MISSING DETAIL")))</f>
        <v/>
      </c>
      <c r="T631" s="58" t="str">
        <f t="shared" si="88"/>
        <v/>
      </c>
      <c r="U631" s="59" t="str">
        <f>IF($T631="","",COUNTIF($T$6:$T631,"?*"))</f>
        <v/>
      </c>
      <c r="V631" s="58" t="str">
        <f t="shared" si="89"/>
        <v/>
      </c>
    </row>
    <row r="632" spans="1:22" ht="12.95" customHeight="1" x14ac:dyDescent="0.25">
      <c r="A632" s="52" t="str">
        <f t="shared" si="81"/>
        <v/>
      </c>
      <c r="B632" s="37"/>
      <c r="C632" s="28"/>
      <c r="D632" s="35"/>
      <c r="E632" s="38"/>
      <c r="F632" s="38"/>
      <c r="G632" s="52" t="str">
        <f t="shared" si="82"/>
        <v/>
      </c>
      <c r="H632" s="53" t="str">
        <f t="shared" si="83"/>
        <v/>
      </c>
      <c r="I632" s="40"/>
      <c r="J632" s="54" t="str">
        <f t="shared" si="84"/>
        <v/>
      </c>
      <c r="K632" s="41" t="str">
        <f t="shared" si="85"/>
        <v/>
      </c>
      <c r="L632" s="55"/>
      <c r="M632" s="56">
        <f t="shared" si="86"/>
        <v>0</v>
      </c>
      <c r="N632" s="56">
        <f t="shared" si="87"/>
        <v>0</v>
      </c>
      <c r="O632" s="57"/>
      <c r="P632" s="40"/>
      <c r="Q632" s="52" t="str">
        <f>IF($D632="","",IF($K632&lt;&gt;"Balance Sheet / Clearing","-",IF(SUMPRODUCT(--(LEFT('7. Settlements'!$J$8:$J$107,7)=$A632),--('7. Settlements'!$M$8:$M$107="Tied out"))+SUMPRODUCT(--(LEFT('8. Transfers'!$H$9:$H$108,7)=$A632),--('8. Transfers'!$J$9:$J$108="Matched"))+SUMPRODUCT(--(LEFT('8. Transfers'!$I$9:$I$108,7)=$A632),--('8. Transfers'!$J$9:$J$108="Matched"))+IF($O632="",0,COUNTIFS('9. Payroll Allocation'!$B$234:$B$253,$O632,'9. Payroll Allocation'!$H$234:$H$253,"Tied out"))&gt;0,"Linked","MISSING DETAIL")))</f>
        <v/>
      </c>
      <c r="T632" s="58" t="str">
        <f t="shared" si="88"/>
        <v/>
      </c>
      <c r="U632" s="59" t="str">
        <f>IF($T632="","",COUNTIF($T$6:$T632,"?*"))</f>
        <v/>
      </c>
      <c r="V632" s="58" t="str">
        <f t="shared" si="89"/>
        <v/>
      </c>
    </row>
    <row r="633" spans="1:22" ht="12.95" customHeight="1" x14ac:dyDescent="0.25">
      <c r="A633" s="60" t="str">
        <f t="shared" si="81"/>
        <v/>
      </c>
      <c r="B633" s="37"/>
      <c r="C633" s="28"/>
      <c r="D633" s="35"/>
      <c r="E633" s="38"/>
      <c r="F633" s="38"/>
      <c r="G633" s="60" t="str">
        <f t="shared" si="82"/>
        <v/>
      </c>
      <c r="H633" s="61" t="str">
        <f t="shared" si="83"/>
        <v/>
      </c>
      <c r="I633" s="40"/>
      <c r="J633" s="62" t="str">
        <f t="shared" si="84"/>
        <v/>
      </c>
      <c r="K633" s="45" t="str">
        <f t="shared" si="85"/>
        <v/>
      </c>
      <c r="L633" s="55"/>
      <c r="M633" s="63">
        <f t="shared" si="86"/>
        <v>0</v>
      </c>
      <c r="N633" s="63">
        <f t="shared" si="87"/>
        <v>0</v>
      </c>
      <c r="O633" s="57"/>
      <c r="P633" s="40"/>
      <c r="Q633" s="60" t="str">
        <f>IF($D633="","",IF($K633&lt;&gt;"Balance Sheet / Clearing","-",IF(SUMPRODUCT(--(LEFT('7. Settlements'!$J$8:$J$107,7)=$A633),--('7. Settlements'!$M$8:$M$107="Tied out"))+SUMPRODUCT(--(LEFT('8. Transfers'!$H$9:$H$108,7)=$A633),--('8. Transfers'!$J$9:$J$108="Matched"))+SUMPRODUCT(--(LEFT('8. Transfers'!$I$9:$I$108,7)=$A633),--('8. Transfers'!$J$9:$J$108="Matched"))+IF($O633="",0,COUNTIFS('9. Payroll Allocation'!$B$234:$B$253,$O633,'9. Payroll Allocation'!$H$234:$H$253,"Tied out"))&gt;0,"Linked","MISSING DETAIL")))</f>
        <v/>
      </c>
      <c r="T633" s="58" t="str">
        <f t="shared" si="88"/>
        <v/>
      </c>
      <c r="U633" s="59" t="str">
        <f>IF($T633="","",COUNTIF($T$6:$T633,"?*"))</f>
        <v/>
      </c>
      <c r="V633" s="58" t="str">
        <f t="shared" si="89"/>
        <v/>
      </c>
    </row>
    <row r="634" spans="1:22" ht="12.95" customHeight="1" x14ac:dyDescent="0.25">
      <c r="A634" s="52" t="str">
        <f t="shared" si="81"/>
        <v/>
      </c>
      <c r="B634" s="37"/>
      <c r="C634" s="28"/>
      <c r="D634" s="35"/>
      <c r="E634" s="38"/>
      <c r="F634" s="38"/>
      <c r="G634" s="52" t="str">
        <f t="shared" si="82"/>
        <v/>
      </c>
      <c r="H634" s="53" t="str">
        <f t="shared" si="83"/>
        <v/>
      </c>
      <c r="I634" s="40"/>
      <c r="J634" s="54" t="str">
        <f t="shared" si="84"/>
        <v/>
      </c>
      <c r="K634" s="41" t="str">
        <f t="shared" si="85"/>
        <v/>
      </c>
      <c r="L634" s="55"/>
      <c r="M634" s="56">
        <f t="shared" si="86"/>
        <v>0</v>
      </c>
      <c r="N634" s="56">
        <f t="shared" si="87"/>
        <v>0</v>
      </c>
      <c r="O634" s="57"/>
      <c r="P634" s="40"/>
      <c r="Q634" s="52" t="str">
        <f>IF($D634="","",IF($K634&lt;&gt;"Balance Sheet / Clearing","-",IF(SUMPRODUCT(--(LEFT('7. Settlements'!$J$8:$J$107,7)=$A634),--('7. Settlements'!$M$8:$M$107="Tied out"))+SUMPRODUCT(--(LEFT('8. Transfers'!$H$9:$H$108,7)=$A634),--('8. Transfers'!$J$9:$J$108="Matched"))+SUMPRODUCT(--(LEFT('8. Transfers'!$I$9:$I$108,7)=$A634),--('8. Transfers'!$J$9:$J$108="Matched"))+IF($O634="",0,COUNTIFS('9. Payroll Allocation'!$B$234:$B$253,$O634,'9. Payroll Allocation'!$H$234:$H$253,"Tied out"))&gt;0,"Linked","MISSING DETAIL")))</f>
        <v/>
      </c>
      <c r="T634" s="58" t="str">
        <f t="shared" si="88"/>
        <v/>
      </c>
      <c r="U634" s="59" t="str">
        <f>IF($T634="","",COUNTIF($T$6:$T634,"?*"))</f>
        <v/>
      </c>
      <c r="V634" s="58" t="str">
        <f t="shared" si="89"/>
        <v/>
      </c>
    </row>
    <row r="635" spans="1:22" ht="12.95" customHeight="1" x14ac:dyDescent="0.25">
      <c r="A635" s="60" t="str">
        <f t="shared" si="81"/>
        <v/>
      </c>
      <c r="B635" s="37"/>
      <c r="C635" s="28"/>
      <c r="D635" s="35"/>
      <c r="E635" s="38"/>
      <c r="F635" s="38"/>
      <c r="G635" s="60" t="str">
        <f t="shared" si="82"/>
        <v/>
      </c>
      <c r="H635" s="61" t="str">
        <f t="shared" si="83"/>
        <v/>
      </c>
      <c r="I635" s="40"/>
      <c r="J635" s="62" t="str">
        <f t="shared" si="84"/>
        <v/>
      </c>
      <c r="K635" s="45" t="str">
        <f t="shared" si="85"/>
        <v/>
      </c>
      <c r="L635" s="55"/>
      <c r="M635" s="63">
        <f t="shared" si="86"/>
        <v>0</v>
      </c>
      <c r="N635" s="63">
        <f t="shared" si="87"/>
        <v>0</v>
      </c>
      <c r="O635" s="57"/>
      <c r="P635" s="40"/>
      <c r="Q635" s="60" t="str">
        <f>IF($D635="","",IF($K635&lt;&gt;"Balance Sheet / Clearing","-",IF(SUMPRODUCT(--(LEFT('7. Settlements'!$J$8:$J$107,7)=$A635),--('7. Settlements'!$M$8:$M$107="Tied out"))+SUMPRODUCT(--(LEFT('8. Transfers'!$H$9:$H$108,7)=$A635),--('8. Transfers'!$J$9:$J$108="Matched"))+SUMPRODUCT(--(LEFT('8. Transfers'!$I$9:$I$108,7)=$A635),--('8. Transfers'!$J$9:$J$108="Matched"))+IF($O635="",0,COUNTIFS('9. Payroll Allocation'!$B$234:$B$253,$O635,'9. Payroll Allocation'!$H$234:$H$253,"Tied out"))&gt;0,"Linked","MISSING DETAIL")))</f>
        <v/>
      </c>
      <c r="T635" s="58" t="str">
        <f t="shared" si="88"/>
        <v/>
      </c>
      <c r="U635" s="59" t="str">
        <f>IF($T635="","",COUNTIF($T$6:$T635,"?*"))</f>
        <v/>
      </c>
      <c r="V635" s="58" t="str">
        <f t="shared" si="89"/>
        <v/>
      </c>
    </row>
    <row r="636" spans="1:22" ht="12.95" customHeight="1" x14ac:dyDescent="0.25">
      <c r="A636" s="52" t="str">
        <f t="shared" si="81"/>
        <v/>
      </c>
      <c r="B636" s="37"/>
      <c r="C636" s="28"/>
      <c r="D636" s="35"/>
      <c r="E636" s="38"/>
      <c r="F636" s="38"/>
      <c r="G636" s="52" t="str">
        <f t="shared" si="82"/>
        <v/>
      </c>
      <c r="H636" s="53" t="str">
        <f t="shared" si="83"/>
        <v/>
      </c>
      <c r="I636" s="40"/>
      <c r="J636" s="54" t="str">
        <f t="shared" si="84"/>
        <v/>
      </c>
      <c r="K636" s="41" t="str">
        <f t="shared" si="85"/>
        <v/>
      </c>
      <c r="L636" s="55"/>
      <c r="M636" s="56">
        <f t="shared" si="86"/>
        <v>0</v>
      </c>
      <c r="N636" s="56">
        <f t="shared" si="87"/>
        <v>0</v>
      </c>
      <c r="O636" s="57"/>
      <c r="P636" s="40"/>
      <c r="Q636" s="52" t="str">
        <f>IF($D636="","",IF($K636&lt;&gt;"Balance Sheet / Clearing","-",IF(SUMPRODUCT(--(LEFT('7. Settlements'!$J$8:$J$107,7)=$A636),--('7. Settlements'!$M$8:$M$107="Tied out"))+SUMPRODUCT(--(LEFT('8. Transfers'!$H$9:$H$108,7)=$A636),--('8. Transfers'!$J$9:$J$108="Matched"))+SUMPRODUCT(--(LEFT('8. Transfers'!$I$9:$I$108,7)=$A636),--('8. Transfers'!$J$9:$J$108="Matched"))+IF($O636="",0,COUNTIFS('9. Payroll Allocation'!$B$234:$B$253,$O636,'9. Payroll Allocation'!$H$234:$H$253,"Tied out"))&gt;0,"Linked","MISSING DETAIL")))</f>
        <v/>
      </c>
      <c r="T636" s="58" t="str">
        <f t="shared" si="88"/>
        <v/>
      </c>
      <c r="U636" s="59" t="str">
        <f>IF($T636="","",COUNTIF($T$6:$T636,"?*"))</f>
        <v/>
      </c>
      <c r="V636" s="58" t="str">
        <f t="shared" si="89"/>
        <v/>
      </c>
    </row>
    <row r="637" spans="1:22" ht="12.95" customHeight="1" x14ac:dyDescent="0.25">
      <c r="A637" s="60" t="str">
        <f t="shared" si="81"/>
        <v/>
      </c>
      <c r="B637" s="37"/>
      <c r="C637" s="28"/>
      <c r="D637" s="35"/>
      <c r="E637" s="38"/>
      <c r="F637" s="38"/>
      <c r="G637" s="60" t="str">
        <f t="shared" si="82"/>
        <v/>
      </c>
      <c r="H637" s="61" t="str">
        <f t="shared" si="83"/>
        <v/>
      </c>
      <c r="I637" s="40"/>
      <c r="J637" s="62" t="str">
        <f t="shared" si="84"/>
        <v/>
      </c>
      <c r="K637" s="45" t="str">
        <f t="shared" si="85"/>
        <v/>
      </c>
      <c r="L637" s="55"/>
      <c r="M637" s="63">
        <f t="shared" si="86"/>
        <v>0</v>
      </c>
      <c r="N637" s="63">
        <f t="shared" si="87"/>
        <v>0</v>
      </c>
      <c r="O637" s="57"/>
      <c r="P637" s="40"/>
      <c r="Q637" s="60" t="str">
        <f>IF($D637="","",IF($K637&lt;&gt;"Balance Sheet / Clearing","-",IF(SUMPRODUCT(--(LEFT('7. Settlements'!$J$8:$J$107,7)=$A637),--('7. Settlements'!$M$8:$M$107="Tied out"))+SUMPRODUCT(--(LEFT('8. Transfers'!$H$9:$H$108,7)=$A637),--('8. Transfers'!$J$9:$J$108="Matched"))+SUMPRODUCT(--(LEFT('8. Transfers'!$I$9:$I$108,7)=$A637),--('8. Transfers'!$J$9:$J$108="Matched"))+IF($O637="",0,COUNTIFS('9. Payroll Allocation'!$B$234:$B$253,$O637,'9. Payroll Allocation'!$H$234:$H$253,"Tied out"))&gt;0,"Linked","MISSING DETAIL")))</f>
        <v/>
      </c>
      <c r="T637" s="58" t="str">
        <f t="shared" si="88"/>
        <v/>
      </c>
      <c r="U637" s="59" t="str">
        <f>IF($T637="","",COUNTIF($T$6:$T637,"?*"))</f>
        <v/>
      </c>
      <c r="V637" s="58" t="str">
        <f t="shared" si="89"/>
        <v/>
      </c>
    </row>
    <row r="638" spans="1:22" ht="12.95" customHeight="1" x14ac:dyDescent="0.25">
      <c r="A638" s="52" t="str">
        <f t="shared" si="81"/>
        <v/>
      </c>
      <c r="B638" s="37"/>
      <c r="C638" s="28"/>
      <c r="D638" s="35"/>
      <c r="E638" s="38"/>
      <c r="F638" s="38"/>
      <c r="G638" s="52" t="str">
        <f t="shared" si="82"/>
        <v/>
      </c>
      <c r="H638" s="53" t="str">
        <f t="shared" si="83"/>
        <v/>
      </c>
      <c r="I638" s="40"/>
      <c r="J638" s="54" t="str">
        <f t="shared" si="84"/>
        <v/>
      </c>
      <c r="K638" s="41" t="str">
        <f t="shared" si="85"/>
        <v/>
      </c>
      <c r="L638" s="55"/>
      <c r="M638" s="56">
        <f t="shared" si="86"/>
        <v>0</v>
      </c>
      <c r="N638" s="56">
        <f t="shared" si="87"/>
        <v>0</v>
      </c>
      <c r="O638" s="57"/>
      <c r="P638" s="40"/>
      <c r="Q638" s="52" t="str">
        <f>IF($D638="","",IF($K638&lt;&gt;"Balance Sheet / Clearing","-",IF(SUMPRODUCT(--(LEFT('7. Settlements'!$J$8:$J$107,7)=$A638),--('7. Settlements'!$M$8:$M$107="Tied out"))+SUMPRODUCT(--(LEFT('8. Transfers'!$H$9:$H$108,7)=$A638),--('8. Transfers'!$J$9:$J$108="Matched"))+SUMPRODUCT(--(LEFT('8. Transfers'!$I$9:$I$108,7)=$A638),--('8. Transfers'!$J$9:$J$108="Matched"))+IF($O638="",0,COUNTIFS('9. Payroll Allocation'!$B$234:$B$253,$O638,'9. Payroll Allocation'!$H$234:$H$253,"Tied out"))&gt;0,"Linked","MISSING DETAIL")))</f>
        <v/>
      </c>
      <c r="T638" s="58" t="str">
        <f t="shared" si="88"/>
        <v/>
      </c>
      <c r="U638" s="59" t="str">
        <f>IF($T638="","",COUNTIF($T$6:$T638,"?*"))</f>
        <v/>
      </c>
      <c r="V638" s="58" t="str">
        <f t="shared" si="89"/>
        <v/>
      </c>
    </row>
    <row r="639" spans="1:22" ht="12.95" customHeight="1" x14ac:dyDescent="0.25">
      <c r="A639" s="60" t="str">
        <f t="shared" si="81"/>
        <v/>
      </c>
      <c r="B639" s="37"/>
      <c r="C639" s="28"/>
      <c r="D639" s="35"/>
      <c r="E639" s="38"/>
      <c r="F639" s="38"/>
      <c r="G639" s="60" t="str">
        <f t="shared" si="82"/>
        <v/>
      </c>
      <c r="H639" s="61" t="str">
        <f t="shared" si="83"/>
        <v/>
      </c>
      <c r="I639" s="40"/>
      <c r="J639" s="62" t="str">
        <f t="shared" si="84"/>
        <v/>
      </c>
      <c r="K639" s="45" t="str">
        <f t="shared" si="85"/>
        <v/>
      </c>
      <c r="L639" s="55"/>
      <c r="M639" s="63">
        <f t="shared" si="86"/>
        <v>0</v>
      </c>
      <c r="N639" s="63">
        <f t="shared" si="87"/>
        <v>0</v>
      </c>
      <c r="O639" s="57"/>
      <c r="P639" s="40"/>
      <c r="Q639" s="60" t="str">
        <f>IF($D639="","",IF($K639&lt;&gt;"Balance Sheet / Clearing","-",IF(SUMPRODUCT(--(LEFT('7. Settlements'!$J$8:$J$107,7)=$A639),--('7. Settlements'!$M$8:$M$107="Tied out"))+SUMPRODUCT(--(LEFT('8. Transfers'!$H$9:$H$108,7)=$A639),--('8. Transfers'!$J$9:$J$108="Matched"))+SUMPRODUCT(--(LEFT('8. Transfers'!$I$9:$I$108,7)=$A639),--('8. Transfers'!$J$9:$J$108="Matched"))+IF($O639="",0,COUNTIFS('9. Payroll Allocation'!$B$234:$B$253,$O639,'9. Payroll Allocation'!$H$234:$H$253,"Tied out"))&gt;0,"Linked","MISSING DETAIL")))</f>
        <v/>
      </c>
      <c r="T639" s="58" t="str">
        <f t="shared" si="88"/>
        <v/>
      </c>
      <c r="U639" s="59" t="str">
        <f>IF($T639="","",COUNTIF($T$6:$T639,"?*"))</f>
        <v/>
      </c>
      <c r="V639" s="58" t="str">
        <f t="shared" si="89"/>
        <v/>
      </c>
    </row>
    <row r="640" spans="1:22" ht="12.95" customHeight="1" x14ac:dyDescent="0.25">
      <c r="A640" s="52" t="str">
        <f t="shared" si="81"/>
        <v/>
      </c>
      <c r="B640" s="37"/>
      <c r="C640" s="28"/>
      <c r="D640" s="35"/>
      <c r="E640" s="38"/>
      <c r="F640" s="38"/>
      <c r="G640" s="52" t="str">
        <f t="shared" si="82"/>
        <v/>
      </c>
      <c r="H640" s="53" t="str">
        <f t="shared" si="83"/>
        <v/>
      </c>
      <c r="I640" s="40"/>
      <c r="J640" s="54" t="str">
        <f t="shared" si="84"/>
        <v/>
      </c>
      <c r="K640" s="41" t="str">
        <f t="shared" si="85"/>
        <v/>
      </c>
      <c r="L640" s="55"/>
      <c r="M640" s="56">
        <f t="shared" si="86"/>
        <v>0</v>
      </c>
      <c r="N640" s="56">
        <f t="shared" si="87"/>
        <v>0</v>
      </c>
      <c r="O640" s="57"/>
      <c r="P640" s="40"/>
      <c r="Q640" s="52" t="str">
        <f>IF($D640="","",IF($K640&lt;&gt;"Balance Sheet / Clearing","-",IF(SUMPRODUCT(--(LEFT('7. Settlements'!$J$8:$J$107,7)=$A640),--('7. Settlements'!$M$8:$M$107="Tied out"))+SUMPRODUCT(--(LEFT('8. Transfers'!$H$9:$H$108,7)=$A640),--('8. Transfers'!$J$9:$J$108="Matched"))+SUMPRODUCT(--(LEFT('8. Transfers'!$I$9:$I$108,7)=$A640),--('8. Transfers'!$J$9:$J$108="Matched"))+IF($O640="",0,COUNTIFS('9. Payroll Allocation'!$B$234:$B$253,$O640,'9. Payroll Allocation'!$H$234:$H$253,"Tied out"))&gt;0,"Linked","MISSING DETAIL")))</f>
        <v/>
      </c>
      <c r="T640" s="58" t="str">
        <f t="shared" si="88"/>
        <v/>
      </c>
      <c r="U640" s="59" t="str">
        <f>IF($T640="","",COUNTIF($T$6:$T640,"?*"))</f>
        <v/>
      </c>
      <c r="V640" s="58" t="str">
        <f t="shared" si="89"/>
        <v/>
      </c>
    </row>
    <row r="641" spans="1:22" ht="12.95" customHeight="1" x14ac:dyDescent="0.25">
      <c r="A641" s="60" t="str">
        <f t="shared" si="81"/>
        <v/>
      </c>
      <c r="B641" s="37"/>
      <c r="C641" s="28"/>
      <c r="D641" s="35"/>
      <c r="E641" s="38"/>
      <c r="F641" s="38"/>
      <c r="G641" s="60" t="str">
        <f t="shared" si="82"/>
        <v/>
      </c>
      <c r="H641" s="61" t="str">
        <f t="shared" si="83"/>
        <v/>
      </c>
      <c r="I641" s="40"/>
      <c r="J641" s="62" t="str">
        <f t="shared" si="84"/>
        <v/>
      </c>
      <c r="K641" s="45" t="str">
        <f t="shared" si="85"/>
        <v/>
      </c>
      <c r="L641" s="55"/>
      <c r="M641" s="63">
        <f t="shared" si="86"/>
        <v>0</v>
      </c>
      <c r="N641" s="63">
        <f t="shared" si="87"/>
        <v>0</v>
      </c>
      <c r="O641" s="57"/>
      <c r="P641" s="40"/>
      <c r="Q641" s="60" t="str">
        <f>IF($D641="","",IF($K641&lt;&gt;"Balance Sheet / Clearing","-",IF(SUMPRODUCT(--(LEFT('7. Settlements'!$J$8:$J$107,7)=$A641),--('7. Settlements'!$M$8:$M$107="Tied out"))+SUMPRODUCT(--(LEFT('8. Transfers'!$H$9:$H$108,7)=$A641),--('8. Transfers'!$J$9:$J$108="Matched"))+SUMPRODUCT(--(LEFT('8. Transfers'!$I$9:$I$108,7)=$A641),--('8. Transfers'!$J$9:$J$108="Matched"))+IF($O641="",0,COUNTIFS('9. Payroll Allocation'!$B$234:$B$253,$O641,'9. Payroll Allocation'!$H$234:$H$253,"Tied out"))&gt;0,"Linked","MISSING DETAIL")))</f>
        <v/>
      </c>
      <c r="T641" s="58" t="str">
        <f t="shared" si="88"/>
        <v/>
      </c>
      <c r="U641" s="59" t="str">
        <f>IF($T641="","",COUNTIF($T$6:$T641,"?*"))</f>
        <v/>
      </c>
      <c r="V641" s="58" t="str">
        <f t="shared" si="89"/>
        <v/>
      </c>
    </row>
    <row r="642" spans="1:22" ht="12.95" customHeight="1" x14ac:dyDescent="0.25">
      <c r="A642" s="52" t="str">
        <f t="shared" si="81"/>
        <v/>
      </c>
      <c r="B642" s="37"/>
      <c r="C642" s="28"/>
      <c r="D642" s="35"/>
      <c r="E642" s="38"/>
      <c r="F642" s="38"/>
      <c r="G642" s="52" t="str">
        <f t="shared" si="82"/>
        <v/>
      </c>
      <c r="H642" s="53" t="str">
        <f t="shared" si="83"/>
        <v/>
      </c>
      <c r="I642" s="40"/>
      <c r="J642" s="54" t="str">
        <f t="shared" si="84"/>
        <v/>
      </c>
      <c r="K642" s="41" t="str">
        <f t="shared" si="85"/>
        <v/>
      </c>
      <c r="L642" s="55"/>
      <c r="M642" s="56">
        <f t="shared" si="86"/>
        <v>0</v>
      </c>
      <c r="N642" s="56">
        <f t="shared" si="87"/>
        <v>0</v>
      </c>
      <c r="O642" s="57"/>
      <c r="P642" s="40"/>
      <c r="Q642" s="52" t="str">
        <f>IF($D642="","",IF($K642&lt;&gt;"Balance Sheet / Clearing","-",IF(SUMPRODUCT(--(LEFT('7. Settlements'!$J$8:$J$107,7)=$A642),--('7. Settlements'!$M$8:$M$107="Tied out"))+SUMPRODUCT(--(LEFT('8. Transfers'!$H$9:$H$108,7)=$A642),--('8. Transfers'!$J$9:$J$108="Matched"))+SUMPRODUCT(--(LEFT('8. Transfers'!$I$9:$I$108,7)=$A642),--('8. Transfers'!$J$9:$J$108="Matched"))+IF($O642="",0,COUNTIFS('9. Payroll Allocation'!$B$234:$B$253,$O642,'9. Payroll Allocation'!$H$234:$H$253,"Tied out"))&gt;0,"Linked","MISSING DETAIL")))</f>
        <v/>
      </c>
      <c r="T642" s="58" t="str">
        <f t="shared" si="88"/>
        <v/>
      </c>
      <c r="U642" s="59" t="str">
        <f>IF($T642="","",COUNTIF($T$6:$T642,"?*"))</f>
        <v/>
      </c>
      <c r="V642" s="58" t="str">
        <f t="shared" si="89"/>
        <v/>
      </c>
    </row>
    <row r="643" spans="1:22" ht="12.95" customHeight="1" x14ac:dyDescent="0.25">
      <c r="A643" s="60" t="str">
        <f t="shared" si="81"/>
        <v/>
      </c>
      <c r="B643" s="37"/>
      <c r="C643" s="28"/>
      <c r="D643" s="35"/>
      <c r="E643" s="38"/>
      <c r="F643" s="38"/>
      <c r="G643" s="60" t="str">
        <f t="shared" si="82"/>
        <v/>
      </c>
      <c r="H643" s="61" t="str">
        <f t="shared" si="83"/>
        <v/>
      </c>
      <c r="I643" s="40"/>
      <c r="J643" s="62" t="str">
        <f t="shared" si="84"/>
        <v/>
      </c>
      <c r="K643" s="45" t="str">
        <f t="shared" si="85"/>
        <v/>
      </c>
      <c r="L643" s="55"/>
      <c r="M643" s="63">
        <f t="shared" si="86"/>
        <v>0</v>
      </c>
      <c r="N643" s="63">
        <f t="shared" si="87"/>
        <v>0</v>
      </c>
      <c r="O643" s="57"/>
      <c r="P643" s="40"/>
      <c r="Q643" s="60" t="str">
        <f>IF($D643="","",IF($K643&lt;&gt;"Balance Sheet / Clearing","-",IF(SUMPRODUCT(--(LEFT('7. Settlements'!$J$8:$J$107,7)=$A643),--('7. Settlements'!$M$8:$M$107="Tied out"))+SUMPRODUCT(--(LEFT('8. Transfers'!$H$9:$H$108,7)=$A643),--('8. Transfers'!$J$9:$J$108="Matched"))+SUMPRODUCT(--(LEFT('8. Transfers'!$I$9:$I$108,7)=$A643),--('8. Transfers'!$J$9:$J$108="Matched"))+IF($O643="",0,COUNTIFS('9. Payroll Allocation'!$B$234:$B$253,$O643,'9. Payroll Allocation'!$H$234:$H$253,"Tied out"))&gt;0,"Linked","MISSING DETAIL")))</f>
        <v/>
      </c>
      <c r="T643" s="58" t="str">
        <f t="shared" si="88"/>
        <v/>
      </c>
      <c r="U643" s="59" t="str">
        <f>IF($T643="","",COUNTIF($T$6:$T643,"?*"))</f>
        <v/>
      </c>
      <c r="V643" s="58" t="str">
        <f t="shared" si="89"/>
        <v/>
      </c>
    </row>
    <row r="644" spans="1:22" ht="12.95" customHeight="1" x14ac:dyDescent="0.25">
      <c r="A644" s="52" t="str">
        <f t="shared" si="81"/>
        <v/>
      </c>
      <c r="B644" s="37"/>
      <c r="C644" s="28"/>
      <c r="D644" s="35"/>
      <c r="E644" s="38"/>
      <c r="F644" s="38"/>
      <c r="G644" s="52" t="str">
        <f t="shared" si="82"/>
        <v/>
      </c>
      <c r="H644" s="53" t="str">
        <f t="shared" si="83"/>
        <v/>
      </c>
      <c r="I644" s="40"/>
      <c r="J644" s="54" t="str">
        <f t="shared" si="84"/>
        <v/>
      </c>
      <c r="K644" s="41" t="str">
        <f t="shared" si="85"/>
        <v/>
      </c>
      <c r="L644" s="55"/>
      <c r="M644" s="56">
        <f t="shared" si="86"/>
        <v>0</v>
      </c>
      <c r="N644" s="56">
        <f t="shared" si="87"/>
        <v>0</v>
      </c>
      <c r="O644" s="57"/>
      <c r="P644" s="40"/>
      <c r="Q644" s="52" t="str">
        <f>IF($D644="","",IF($K644&lt;&gt;"Balance Sheet / Clearing","-",IF(SUMPRODUCT(--(LEFT('7. Settlements'!$J$8:$J$107,7)=$A644),--('7. Settlements'!$M$8:$M$107="Tied out"))+SUMPRODUCT(--(LEFT('8. Transfers'!$H$9:$H$108,7)=$A644),--('8. Transfers'!$J$9:$J$108="Matched"))+SUMPRODUCT(--(LEFT('8. Transfers'!$I$9:$I$108,7)=$A644),--('8. Transfers'!$J$9:$J$108="Matched"))+IF($O644="",0,COUNTIFS('9. Payroll Allocation'!$B$234:$B$253,$O644,'9. Payroll Allocation'!$H$234:$H$253,"Tied out"))&gt;0,"Linked","MISSING DETAIL")))</f>
        <v/>
      </c>
      <c r="T644" s="58" t="str">
        <f t="shared" si="88"/>
        <v/>
      </c>
      <c r="U644" s="59" t="str">
        <f>IF($T644="","",COUNTIF($T$6:$T644,"?*"))</f>
        <v/>
      </c>
      <c r="V644" s="58" t="str">
        <f t="shared" si="89"/>
        <v/>
      </c>
    </row>
    <row r="645" spans="1:22" ht="12.95" customHeight="1" x14ac:dyDescent="0.25">
      <c r="A645" s="60" t="str">
        <f t="shared" si="81"/>
        <v/>
      </c>
      <c r="B645" s="37"/>
      <c r="C645" s="28"/>
      <c r="D645" s="35"/>
      <c r="E645" s="38"/>
      <c r="F645" s="38"/>
      <c r="G645" s="60" t="str">
        <f t="shared" si="82"/>
        <v/>
      </c>
      <c r="H645" s="61" t="str">
        <f t="shared" si="83"/>
        <v/>
      </c>
      <c r="I645" s="40"/>
      <c r="J645" s="62" t="str">
        <f t="shared" si="84"/>
        <v/>
      </c>
      <c r="K645" s="45" t="str">
        <f t="shared" si="85"/>
        <v/>
      </c>
      <c r="L645" s="55"/>
      <c r="M645" s="63">
        <f t="shared" si="86"/>
        <v>0</v>
      </c>
      <c r="N645" s="63">
        <f t="shared" si="87"/>
        <v>0</v>
      </c>
      <c r="O645" s="57"/>
      <c r="P645" s="40"/>
      <c r="Q645" s="60" t="str">
        <f>IF($D645="","",IF($K645&lt;&gt;"Balance Sheet / Clearing","-",IF(SUMPRODUCT(--(LEFT('7. Settlements'!$J$8:$J$107,7)=$A645),--('7. Settlements'!$M$8:$M$107="Tied out"))+SUMPRODUCT(--(LEFT('8. Transfers'!$H$9:$H$108,7)=$A645),--('8. Transfers'!$J$9:$J$108="Matched"))+SUMPRODUCT(--(LEFT('8. Transfers'!$I$9:$I$108,7)=$A645),--('8. Transfers'!$J$9:$J$108="Matched"))+IF($O645="",0,COUNTIFS('9. Payroll Allocation'!$B$234:$B$253,$O645,'9. Payroll Allocation'!$H$234:$H$253,"Tied out"))&gt;0,"Linked","MISSING DETAIL")))</f>
        <v/>
      </c>
      <c r="T645" s="58" t="str">
        <f t="shared" si="88"/>
        <v/>
      </c>
      <c r="U645" s="59" t="str">
        <f>IF($T645="","",COUNTIF($T$6:$T645,"?*"))</f>
        <v/>
      </c>
      <c r="V645" s="58" t="str">
        <f t="shared" si="89"/>
        <v/>
      </c>
    </row>
    <row r="646" spans="1:22" ht="12.95" customHeight="1" x14ac:dyDescent="0.25">
      <c r="A646" s="52" t="str">
        <f t="shared" ref="A646:A709" si="90">IF($D646="","","TX-"&amp;TEXT(ROW()-5,"0000"))</f>
        <v/>
      </c>
      <c r="B646" s="37"/>
      <c r="C646" s="28"/>
      <c r="D646" s="35"/>
      <c r="E646" s="38"/>
      <c r="F646" s="38"/>
      <c r="G646" s="52" t="str">
        <f t="shared" ref="G646:G709" si="91">IF($D646="","",IFERROR(_xlfn.AGGREGATE(15,6,Rules_Pri/((ISNUMBER(SEARCH(Rules_Key,$D646)))*(Rules_Key&lt;&gt;"")*(Rules_Active="Yes")*((Rules_Dir="Any")+(Rules_Dir=IF(N($E646)&gt;0,"In","Out")))),1),""))</f>
        <v/>
      </c>
      <c r="H646" s="53" t="str">
        <f t="shared" ref="H646:H709" si="92">IF($D646="","",IF($G646="",IF(N($E646)&gt;0,"Uncategorized Deposit - NEEDS REVIEW","Uncategorized - NEEDS REVIEW"),INDEX(Rules_Cat,MATCH(1,INDEX(((ISNUMBER(SEARCH(Rules_Key,$D646)))*(Rules_Key&lt;&gt;"")*(Rules_Active="Yes")*((Rules_Dir="Any")+(Rules_Dir=IF(N($E646)&gt;0,"In","Out"))))*(Rules_Pri=$G646),0),0))))</f>
        <v/>
      </c>
      <c r="I646" s="40"/>
      <c r="J646" s="54" t="str">
        <f t="shared" ref="J646:J709" si="93">IF($D646="","",IF($I646&lt;&gt;"",$I646,$H646))</f>
        <v/>
      </c>
      <c r="K646" s="41" t="str">
        <f t="shared" ref="K646:K709" si="94">IF($J646="","",IFERROR(INDEX(Cat_Treatment,MATCH($J646,Cat_Name,0)),"Review Required"))</f>
        <v/>
      </c>
      <c r="L646" s="55"/>
      <c r="M646" s="56">
        <f t="shared" ref="M646:M709" si="95">IF($K646&lt;&gt;"Operating Expense",0,IF(AND($L646&lt;&gt;"",OR(N($L646)&lt;0,N($L646)&gt;1)),0,ROUND(N($F646)*IF($L646="",1,$L646),2)))</f>
        <v>0</v>
      </c>
      <c r="N646" s="56">
        <f t="shared" ref="N646:N709" si="96">IF($K646="Operating Revenue",ROUND(N($E646)-N($F646),2),0)</f>
        <v>0</v>
      </c>
      <c r="O646" s="57"/>
      <c r="P646" s="40"/>
      <c r="Q646" s="52" t="str">
        <f>IF($D646="","",IF($K646&lt;&gt;"Balance Sheet / Clearing","-",IF(SUMPRODUCT(--(LEFT('7. Settlements'!$J$8:$J$107,7)=$A646),--('7. Settlements'!$M$8:$M$107="Tied out"))+SUMPRODUCT(--(LEFT('8. Transfers'!$H$9:$H$108,7)=$A646),--('8. Transfers'!$J$9:$J$108="Matched"))+SUMPRODUCT(--(LEFT('8. Transfers'!$I$9:$I$108,7)=$A646),--('8. Transfers'!$J$9:$J$108="Matched"))+IF($O646="",0,COUNTIFS('9. Payroll Allocation'!$B$234:$B$253,$O646,'9. Payroll Allocation'!$H$234:$H$253,"Tied out"))&gt;0,"Linked","MISSING DETAIL")))</f>
        <v/>
      </c>
      <c r="T646" s="58" t="str">
        <f t="shared" ref="T646:T709" si="97">IF(OR($D646="",$K646&lt;&gt;"Balance Sheet / Clearing"),"",$A646&amp;" · "&amp;TEXT($B646,"mm/dd")&amp;" · "&amp;LEFT($D646,24)&amp;" · "&amp;TEXT(N($E646)+N($F646),"#,##0.00"))</f>
        <v/>
      </c>
      <c r="U646" s="59" t="str">
        <f>IF($T646="","",COUNTIF($T$6:$T646,"?*"))</f>
        <v/>
      </c>
      <c r="V646" s="58" t="str">
        <f t="shared" ref="V646:V709" si="98">IFERROR(INDEX($T$6:$T$1005,MATCH(ROW()-5,$U$6:$U$1005,0)),"")</f>
        <v/>
      </c>
    </row>
    <row r="647" spans="1:22" ht="12.95" customHeight="1" x14ac:dyDescent="0.25">
      <c r="A647" s="60" t="str">
        <f t="shared" si="90"/>
        <v/>
      </c>
      <c r="B647" s="37"/>
      <c r="C647" s="28"/>
      <c r="D647" s="35"/>
      <c r="E647" s="38"/>
      <c r="F647" s="38"/>
      <c r="G647" s="60" t="str">
        <f t="shared" si="91"/>
        <v/>
      </c>
      <c r="H647" s="61" t="str">
        <f t="shared" si="92"/>
        <v/>
      </c>
      <c r="I647" s="40"/>
      <c r="J647" s="62" t="str">
        <f t="shared" si="93"/>
        <v/>
      </c>
      <c r="K647" s="45" t="str">
        <f t="shared" si="94"/>
        <v/>
      </c>
      <c r="L647" s="55"/>
      <c r="M647" s="63">
        <f t="shared" si="95"/>
        <v>0</v>
      </c>
      <c r="N647" s="63">
        <f t="shared" si="96"/>
        <v>0</v>
      </c>
      <c r="O647" s="57"/>
      <c r="P647" s="40"/>
      <c r="Q647" s="60" t="str">
        <f>IF($D647="","",IF($K647&lt;&gt;"Balance Sheet / Clearing","-",IF(SUMPRODUCT(--(LEFT('7. Settlements'!$J$8:$J$107,7)=$A647),--('7. Settlements'!$M$8:$M$107="Tied out"))+SUMPRODUCT(--(LEFT('8. Transfers'!$H$9:$H$108,7)=$A647),--('8. Transfers'!$J$9:$J$108="Matched"))+SUMPRODUCT(--(LEFT('8. Transfers'!$I$9:$I$108,7)=$A647),--('8. Transfers'!$J$9:$J$108="Matched"))+IF($O647="",0,COUNTIFS('9. Payroll Allocation'!$B$234:$B$253,$O647,'9. Payroll Allocation'!$H$234:$H$253,"Tied out"))&gt;0,"Linked","MISSING DETAIL")))</f>
        <v/>
      </c>
      <c r="T647" s="58" t="str">
        <f t="shared" si="97"/>
        <v/>
      </c>
      <c r="U647" s="59" t="str">
        <f>IF($T647="","",COUNTIF($T$6:$T647,"?*"))</f>
        <v/>
      </c>
      <c r="V647" s="58" t="str">
        <f t="shared" si="98"/>
        <v/>
      </c>
    </row>
    <row r="648" spans="1:22" ht="12.95" customHeight="1" x14ac:dyDescent="0.25">
      <c r="A648" s="52" t="str">
        <f t="shared" si="90"/>
        <v/>
      </c>
      <c r="B648" s="37"/>
      <c r="C648" s="28"/>
      <c r="D648" s="35"/>
      <c r="E648" s="38"/>
      <c r="F648" s="38"/>
      <c r="G648" s="52" t="str">
        <f t="shared" si="91"/>
        <v/>
      </c>
      <c r="H648" s="53" t="str">
        <f t="shared" si="92"/>
        <v/>
      </c>
      <c r="I648" s="40"/>
      <c r="J648" s="54" t="str">
        <f t="shared" si="93"/>
        <v/>
      </c>
      <c r="K648" s="41" t="str">
        <f t="shared" si="94"/>
        <v/>
      </c>
      <c r="L648" s="55"/>
      <c r="M648" s="56">
        <f t="shared" si="95"/>
        <v>0</v>
      </c>
      <c r="N648" s="56">
        <f t="shared" si="96"/>
        <v>0</v>
      </c>
      <c r="O648" s="57"/>
      <c r="P648" s="40"/>
      <c r="Q648" s="52" t="str">
        <f>IF($D648="","",IF($K648&lt;&gt;"Balance Sheet / Clearing","-",IF(SUMPRODUCT(--(LEFT('7. Settlements'!$J$8:$J$107,7)=$A648),--('7. Settlements'!$M$8:$M$107="Tied out"))+SUMPRODUCT(--(LEFT('8. Transfers'!$H$9:$H$108,7)=$A648),--('8. Transfers'!$J$9:$J$108="Matched"))+SUMPRODUCT(--(LEFT('8. Transfers'!$I$9:$I$108,7)=$A648),--('8. Transfers'!$J$9:$J$108="Matched"))+IF($O648="",0,COUNTIFS('9. Payroll Allocation'!$B$234:$B$253,$O648,'9. Payroll Allocation'!$H$234:$H$253,"Tied out"))&gt;0,"Linked","MISSING DETAIL")))</f>
        <v/>
      </c>
      <c r="T648" s="58" t="str">
        <f t="shared" si="97"/>
        <v/>
      </c>
      <c r="U648" s="59" t="str">
        <f>IF($T648="","",COUNTIF($T$6:$T648,"?*"))</f>
        <v/>
      </c>
      <c r="V648" s="58" t="str">
        <f t="shared" si="98"/>
        <v/>
      </c>
    </row>
    <row r="649" spans="1:22" ht="12.95" customHeight="1" x14ac:dyDescent="0.25">
      <c r="A649" s="60" t="str">
        <f t="shared" si="90"/>
        <v/>
      </c>
      <c r="B649" s="37"/>
      <c r="C649" s="28"/>
      <c r="D649" s="35"/>
      <c r="E649" s="38"/>
      <c r="F649" s="38"/>
      <c r="G649" s="60" t="str">
        <f t="shared" si="91"/>
        <v/>
      </c>
      <c r="H649" s="61" t="str">
        <f t="shared" si="92"/>
        <v/>
      </c>
      <c r="I649" s="40"/>
      <c r="J649" s="62" t="str">
        <f t="shared" si="93"/>
        <v/>
      </c>
      <c r="K649" s="45" t="str">
        <f t="shared" si="94"/>
        <v/>
      </c>
      <c r="L649" s="55"/>
      <c r="M649" s="63">
        <f t="shared" si="95"/>
        <v>0</v>
      </c>
      <c r="N649" s="63">
        <f t="shared" si="96"/>
        <v>0</v>
      </c>
      <c r="O649" s="57"/>
      <c r="P649" s="40"/>
      <c r="Q649" s="60" t="str">
        <f>IF($D649="","",IF($K649&lt;&gt;"Balance Sheet / Clearing","-",IF(SUMPRODUCT(--(LEFT('7. Settlements'!$J$8:$J$107,7)=$A649),--('7. Settlements'!$M$8:$M$107="Tied out"))+SUMPRODUCT(--(LEFT('8. Transfers'!$H$9:$H$108,7)=$A649),--('8. Transfers'!$J$9:$J$108="Matched"))+SUMPRODUCT(--(LEFT('8. Transfers'!$I$9:$I$108,7)=$A649),--('8. Transfers'!$J$9:$J$108="Matched"))+IF($O649="",0,COUNTIFS('9. Payroll Allocation'!$B$234:$B$253,$O649,'9. Payroll Allocation'!$H$234:$H$253,"Tied out"))&gt;0,"Linked","MISSING DETAIL")))</f>
        <v/>
      </c>
      <c r="T649" s="58" t="str">
        <f t="shared" si="97"/>
        <v/>
      </c>
      <c r="U649" s="59" t="str">
        <f>IF($T649="","",COUNTIF($T$6:$T649,"?*"))</f>
        <v/>
      </c>
      <c r="V649" s="58" t="str">
        <f t="shared" si="98"/>
        <v/>
      </c>
    </row>
    <row r="650" spans="1:22" ht="12.95" customHeight="1" x14ac:dyDescent="0.25">
      <c r="A650" s="52" t="str">
        <f t="shared" si="90"/>
        <v/>
      </c>
      <c r="B650" s="37"/>
      <c r="C650" s="28"/>
      <c r="D650" s="35"/>
      <c r="E650" s="38"/>
      <c r="F650" s="38"/>
      <c r="G650" s="52" t="str">
        <f t="shared" si="91"/>
        <v/>
      </c>
      <c r="H650" s="53" t="str">
        <f t="shared" si="92"/>
        <v/>
      </c>
      <c r="I650" s="40"/>
      <c r="J650" s="54" t="str">
        <f t="shared" si="93"/>
        <v/>
      </c>
      <c r="K650" s="41" t="str">
        <f t="shared" si="94"/>
        <v/>
      </c>
      <c r="L650" s="55"/>
      <c r="M650" s="56">
        <f t="shared" si="95"/>
        <v>0</v>
      </c>
      <c r="N650" s="56">
        <f t="shared" si="96"/>
        <v>0</v>
      </c>
      <c r="O650" s="57"/>
      <c r="P650" s="40"/>
      <c r="Q650" s="52" t="str">
        <f>IF($D650="","",IF($K650&lt;&gt;"Balance Sheet / Clearing","-",IF(SUMPRODUCT(--(LEFT('7. Settlements'!$J$8:$J$107,7)=$A650),--('7. Settlements'!$M$8:$M$107="Tied out"))+SUMPRODUCT(--(LEFT('8. Transfers'!$H$9:$H$108,7)=$A650),--('8. Transfers'!$J$9:$J$108="Matched"))+SUMPRODUCT(--(LEFT('8. Transfers'!$I$9:$I$108,7)=$A650),--('8. Transfers'!$J$9:$J$108="Matched"))+IF($O650="",0,COUNTIFS('9. Payroll Allocation'!$B$234:$B$253,$O650,'9. Payroll Allocation'!$H$234:$H$253,"Tied out"))&gt;0,"Linked","MISSING DETAIL")))</f>
        <v/>
      </c>
      <c r="T650" s="58" t="str">
        <f t="shared" si="97"/>
        <v/>
      </c>
      <c r="U650" s="59" t="str">
        <f>IF($T650="","",COUNTIF($T$6:$T650,"?*"))</f>
        <v/>
      </c>
      <c r="V650" s="58" t="str">
        <f t="shared" si="98"/>
        <v/>
      </c>
    </row>
    <row r="651" spans="1:22" ht="12.95" customHeight="1" x14ac:dyDescent="0.25">
      <c r="A651" s="60" t="str">
        <f t="shared" si="90"/>
        <v/>
      </c>
      <c r="B651" s="37"/>
      <c r="C651" s="28"/>
      <c r="D651" s="35"/>
      <c r="E651" s="38"/>
      <c r="F651" s="38"/>
      <c r="G651" s="60" t="str">
        <f t="shared" si="91"/>
        <v/>
      </c>
      <c r="H651" s="61" t="str">
        <f t="shared" si="92"/>
        <v/>
      </c>
      <c r="I651" s="40"/>
      <c r="J651" s="62" t="str">
        <f t="shared" si="93"/>
        <v/>
      </c>
      <c r="K651" s="45" t="str">
        <f t="shared" si="94"/>
        <v/>
      </c>
      <c r="L651" s="55"/>
      <c r="M651" s="63">
        <f t="shared" si="95"/>
        <v>0</v>
      </c>
      <c r="N651" s="63">
        <f t="shared" si="96"/>
        <v>0</v>
      </c>
      <c r="O651" s="57"/>
      <c r="P651" s="40"/>
      <c r="Q651" s="60" t="str">
        <f>IF($D651="","",IF($K651&lt;&gt;"Balance Sheet / Clearing","-",IF(SUMPRODUCT(--(LEFT('7. Settlements'!$J$8:$J$107,7)=$A651),--('7. Settlements'!$M$8:$M$107="Tied out"))+SUMPRODUCT(--(LEFT('8. Transfers'!$H$9:$H$108,7)=$A651),--('8. Transfers'!$J$9:$J$108="Matched"))+SUMPRODUCT(--(LEFT('8. Transfers'!$I$9:$I$108,7)=$A651),--('8. Transfers'!$J$9:$J$108="Matched"))+IF($O651="",0,COUNTIFS('9. Payroll Allocation'!$B$234:$B$253,$O651,'9. Payroll Allocation'!$H$234:$H$253,"Tied out"))&gt;0,"Linked","MISSING DETAIL")))</f>
        <v/>
      </c>
      <c r="T651" s="58" t="str">
        <f t="shared" si="97"/>
        <v/>
      </c>
      <c r="U651" s="59" t="str">
        <f>IF($T651="","",COUNTIF($T$6:$T651,"?*"))</f>
        <v/>
      </c>
      <c r="V651" s="58" t="str">
        <f t="shared" si="98"/>
        <v/>
      </c>
    </row>
    <row r="652" spans="1:22" ht="12.95" customHeight="1" x14ac:dyDescent="0.25">
      <c r="A652" s="52" t="str">
        <f t="shared" si="90"/>
        <v/>
      </c>
      <c r="B652" s="37"/>
      <c r="C652" s="28"/>
      <c r="D652" s="35"/>
      <c r="E652" s="38"/>
      <c r="F652" s="38"/>
      <c r="G652" s="52" t="str">
        <f t="shared" si="91"/>
        <v/>
      </c>
      <c r="H652" s="53" t="str">
        <f t="shared" si="92"/>
        <v/>
      </c>
      <c r="I652" s="40"/>
      <c r="J652" s="54" t="str">
        <f t="shared" si="93"/>
        <v/>
      </c>
      <c r="K652" s="41" t="str">
        <f t="shared" si="94"/>
        <v/>
      </c>
      <c r="L652" s="55"/>
      <c r="M652" s="56">
        <f t="shared" si="95"/>
        <v>0</v>
      </c>
      <c r="N652" s="56">
        <f t="shared" si="96"/>
        <v>0</v>
      </c>
      <c r="O652" s="57"/>
      <c r="P652" s="40"/>
      <c r="Q652" s="52" t="str">
        <f>IF($D652="","",IF($K652&lt;&gt;"Balance Sheet / Clearing","-",IF(SUMPRODUCT(--(LEFT('7. Settlements'!$J$8:$J$107,7)=$A652),--('7. Settlements'!$M$8:$M$107="Tied out"))+SUMPRODUCT(--(LEFT('8. Transfers'!$H$9:$H$108,7)=$A652),--('8. Transfers'!$J$9:$J$108="Matched"))+SUMPRODUCT(--(LEFT('8. Transfers'!$I$9:$I$108,7)=$A652),--('8. Transfers'!$J$9:$J$108="Matched"))+IF($O652="",0,COUNTIFS('9. Payroll Allocation'!$B$234:$B$253,$O652,'9. Payroll Allocation'!$H$234:$H$253,"Tied out"))&gt;0,"Linked","MISSING DETAIL")))</f>
        <v/>
      </c>
      <c r="T652" s="58" t="str">
        <f t="shared" si="97"/>
        <v/>
      </c>
      <c r="U652" s="59" t="str">
        <f>IF($T652="","",COUNTIF($T$6:$T652,"?*"))</f>
        <v/>
      </c>
      <c r="V652" s="58" t="str">
        <f t="shared" si="98"/>
        <v/>
      </c>
    </row>
    <row r="653" spans="1:22" ht="12.95" customHeight="1" x14ac:dyDescent="0.25">
      <c r="A653" s="60" t="str">
        <f t="shared" si="90"/>
        <v/>
      </c>
      <c r="B653" s="37"/>
      <c r="C653" s="28"/>
      <c r="D653" s="35"/>
      <c r="E653" s="38"/>
      <c r="F653" s="38"/>
      <c r="G653" s="60" t="str">
        <f t="shared" si="91"/>
        <v/>
      </c>
      <c r="H653" s="61" t="str">
        <f t="shared" si="92"/>
        <v/>
      </c>
      <c r="I653" s="40"/>
      <c r="J653" s="62" t="str">
        <f t="shared" si="93"/>
        <v/>
      </c>
      <c r="K653" s="45" t="str">
        <f t="shared" si="94"/>
        <v/>
      </c>
      <c r="L653" s="55"/>
      <c r="M653" s="63">
        <f t="shared" si="95"/>
        <v>0</v>
      </c>
      <c r="N653" s="63">
        <f t="shared" si="96"/>
        <v>0</v>
      </c>
      <c r="O653" s="57"/>
      <c r="P653" s="40"/>
      <c r="Q653" s="60" t="str">
        <f>IF($D653="","",IF($K653&lt;&gt;"Balance Sheet / Clearing","-",IF(SUMPRODUCT(--(LEFT('7. Settlements'!$J$8:$J$107,7)=$A653),--('7. Settlements'!$M$8:$M$107="Tied out"))+SUMPRODUCT(--(LEFT('8. Transfers'!$H$9:$H$108,7)=$A653),--('8. Transfers'!$J$9:$J$108="Matched"))+SUMPRODUCT(--(LEFT('8. Transfers'!$I$9:$I$108,7)=$A653),--('8. Transfers'!$J$9:$J$108="Matched"))+IF($O653="",0,COUNTIFS('9. Payroll Allocation'!$B$234:$B$253,$O653,'9. Payroll Allocation'!$H$234:$H$253,"Tied out"))&gt;0,"Linked","MISSING DETAIL")))</f>
        <v/>
      </c>
      <c r="T653" s="58" t="str">
        <f t="shared" si="97"/>
        <v/>
      </c>
      <c r="U653" s="59" t="str">
        <f>IF($T653="","",COUNTIF($T$6:$T653,"?*"))</f>
        <v/>
      </c>
      <c r="V653" s="58" t="str">
        <f t="shared" si="98"/>
        <v/>
      </c>
    </row>
    <row r="654" spans="1:22" ht="12.95" customHeight="1" x14ac:dyDescent="0.25">
      <c r="A654" s="52" t="str">
        <f t="shared" si="90"/>
        <v/>
      </c>
      <c r="B654" s="37"/>
      <c r="C654" s="28"/>
      <c r="D654" s="35"/>
      <c r="E654" s="38"/>
      <c r="F654" s="38"/>
      <c r="G654" s="52" t="str">
        <f t="shared" si="91"/>
        <v/>
      </c>
      <c r="H654" s="53" t="str">
        <f t="shared" si="92"/>
        <v/>
      </c>
      <c r="I654" s="40"/>
      <c r="J654" s="54" t="str">
        <f t="shared" si="93"/>
        <v/>
      </c>
      <c r="K654" s="41" t="str">
        <f t="shared" si="94"/>
        <v/>
      </c>
      <c r="L654" s="55"/>
      <c r="M654" s="56">
        <f t="shared" si="95"/>
        <v>0</v>
      </c>
      <c r="N654" s="56">
        <f t="shared" si="96"/>
        <v>0</v>
      </c>
      <c r="O654" s="57"/>
      <c r="P654" s="40"/>
      <c r="Q654" s="52" t="str">
        <f>IF($D654="","",IF($K654&lt;&gt;"Balance Sheet / Clearing","-",IF(SUMPRODUCT(--(LEFT('7. Settlements'!$J$8:$J$107,7)=$A654),--('7. Settlements'!$M$8:$M$107="Tied out"))+SUMPRODUCT(--(LEFT('8. Transfers'!$H$9:$H$108,7)=$A654),--('8. Transfers'!$J$9:$J$108="Matched"))+SUMPRODUCT(--(LEFT('8. Transfers'!$I$9:$I$108,7)=$A654),--('8. Transfers'!$J$9:$J$108="Matched"))+IF($O654="",0,COUNTIFS('9. Payroll Allocation'!$B$234:$B$253,$O654,'9. Payroll Allocation'!$H$234:$H$253,"Tied out"))&gt;0,"Linked","MISSING DETAIL")))</f>
        <v/>
      </c>
      <c r="T654" s="58" t="str">
        <f t="shared" si="97"/>
        <v/>
      </c>
      <c r="U654" s="59" t="str">
        <f>IF($T654="","",COUNTIF($T$6:$T654,"?*"))</f>
        <v/>
      </c>
      <c r="V654" s="58" t="str">
        <f t="shared" si="98"/>
        <v/>
      </c>
    </row>
    <row r="655" spans="1:22" ht="12.95" customHeight="1" x14ac:dyDescent="0.25">
      <c r="A655" s="60" t="str">
        <f t="shared" si="90"/>
        <v/>
      </c>
      <c r="B655" s="37"/>
      <c r="C655" s="28"/>
      <c r="D655" s="35"/>
      <c r="E655" s="38"/>
      <c r="F655" s="38"/>
      <c r="G655" s="60" t="str">
        <f t="shared" si="91"/>
        <v/>
      </c>
      <c r="H655" s="61" t="str">
        <f t="shared" si="92"/>
        <v/>
      </c>
      <c r="I655" s="40"/>
      <c r="J655" s="62" t="str">
        <f t="shared" si="93"/>
        <v/>
      </c>
      <c r="K655" s="45" t="str">
        <f t="shared" si="94"/>
        <v/>
      </c>
      <c r="L655" s="55"/>
      <c r="M655" s="63">
        <f t="shared" si="95"/>
        <v>0</v>
      </c>
      <c r="N655" s="63">
        <f t="shared" si="96"/>
        <v>0</v>
      </c>
      <c r="O655" s="57"/>
      <c r="P655" s="40"/>
      <c r="Q655" s="60" t="str">
        <f>IF($D655="","",IF($K655&lt;&gt;"Balance Sheet / Clearing","-",IF(SUMPRODUCT(--(LEFT('7. Settlements'!$J$8:$J$107,7)=$A655),--('7. Settlements'!$M$8:$M$107="Tied out"))+SUMPRODUCT(--(LEFT('8. Transfers'!$H$9:$H$108,7)=$A655),--('8. Transfers'!$J$9:$J$108="Matched"))+SUMPRODUCT(--(LEFT('8. Transfers'!$I$9:$I$108,7)=$A655),--('8. Transfers'!$J$9:$J$108="Matched"))+IF($O655="",0,COUNTIFS('9. Payroll Allocation'!$B$234:$B$253,$O655,'9. Payroll Allocation'!$H$234:$H$253,"Tied out"))&gt;0,"Linked","MISSING DETAIL")))</f>
        <v/>
      </c>
      <c r="T655" s="58" t="str">
        <f t="shared" si="97"/>
        <v/>
      </c>
      <c r="U655" s="59" t="str">
        <f>IF($T655="","",COUNTIF($T$6:$T655,"?*"))</f>
        <v/>
      </c>
      <c r="V655" s="58" t="str">
        <f t="shared" si="98"/>
        <v/>
      </c>
    </row>
    <row r="656" spans="1:22" ht="12.95" customHeight="1" x14ac:dyDescent="0.25">
      <c r="A656" s="52" t="str">
        <f t="shared" si="90"/>
        <v/>
      </c>
      <c r="B656" s="37"/>
      <c r="C656" s="28"/>
      <c r="D656" s="35"/>
      <c r="E656" s="38"/>
      <c r="F656" s="38"/>
      <c r="G656" s="52" t="str">
        <f t="shared" si="91"/>
        <v/>
      </c>
      <c r="H656" s="53" t="str">
        <f t="shared" si="92"/>
        <v/>
      </c>
      <c r="I656" s="40"/>
      <c r="J656" s="54" t="str">
        <f t="shared" si="93"/>
        <v/>
      </c>
      <c r="K656" s="41" t="str">
        <f t="shared" si="94"/>
        <v/>
      </c>
      <c r="L656" s="55"/>
      <c r="M656" s="56">
        <f t="shared" si="95"/>
        <v>0</v>
      </c>
      <c r="N656" s="56">
        <f t="shared" si="96"/>
        <v>0</v>
      </c>
      <c r="O656" s="57"/>
      <c r="P656" s="40"/>
      <c r="Q656" s="52" t="str">
        <f>IF($D656="","",IF($K656&lt;&gt;"Balance Sheet / Clearing","-",IF(SUMPRODUCT(--(LEFT('7. Settlements'!$J$8:$J$107,7)=$A656),--('7. Settlements'!$M$8:$M$107="Tied out"))+SUMPRODUCT(--(LEFT('8. Transfers'!$H$9:$H$108,7)=$A656),--('8. Transfers'!$J$9:$J$108="Matched"))+SUMPRODUCT(--(LEFT('8. Transfers'!$I$9:$I$108,7)=$A656),--('8. Transfers'!$J$9:$J$108="Matched"))+IF($O656="",0,COUNTIFS('9. Payroll Allocation'!$B$234:$B$253,$O656,'9. Payroll Allocation'!$H$234:$H$253,"Tied out"))&gt;0,"Linked","MISSING DETAIL")))</f>
        <v/>
      </c>
      <c r="T656" s="58" t="str">
        <f t="shared" si="97"/>
        <v/>
      </c>
      <c r="U656" s="59" t="str">
        <f>IF($T656="","",COUNTIF($T$6:$T656,"?*"))</f>
        <v/>
      </c>
      <c r="V656" s="58" t="str">
        <f t="shared" si="98"/>
        <v/>
      </c>
    </row>
    <row r="657" spans="1:22" ht="12.95" customHeight="1" x14ac:dyDescent="0.25">
      <c r="A657" s="60" t="str">
        <f t="shared" si="90"/>
        <v/>
      </c>
      <c r="B657" s="37"/>
      <c r="C657" s="28"/>
      <c r="D657" s="35"/>
      <c r="E657" s="38"/>
      <c r="F657" s="38"/>
      <c r="G657" s="60" t="str">
        <f t="shared" si="91"/>
        <v/>
      </c>
      <c r="H657" s="61" t="str">
        <f t="shared" si="92"/>
        <v/>
      </c>
      <c r="I657" s="40"/>
      <c r="J657" s="62" t="str">
        <f t="shared" si="93"/>
        <v/>
      </c>
      <c r="K657" s="45" t="str">
        <f t="shared" si="94"/>
        <v/>
      </c>
      <c r="L657" s="55"/>
      <c r="M657" s="63">
        <f t="shared" si="95"/>
        <v>0</v>
      </c>
      <c r="N657" s="63">
        <f t="shared" si="96"/>
        <v>0</v>
      </c>
      <c r="O657" s="57"/>
      <c r="P657" s="40"/>
      <c r="Q657" s="60" t="str">
        <f>IF($D657="","",IF($K657&lt;&gt;"Balance Sheet / Clearing","-",IF(SUMPRODUCT(--(LEFT('7. Settlements'!$J$8:$J$107,7)=$A657),--('7. Settlements'!$M$8:$M$107="Tied out"))+SUMPRODUCT(--(LEFT('8. Transfers'!$H$9:$H$108,7)=$A657),--('8. Transfers'!$J$9:$J$108="Matched"))+SUMPRODUCT(--(LEFT('8. Transfers'!$I$9:$I$108,7)=$A657),--('8. Transfers'!$J$9:$J$108="Matched"))+IF($O657="",0,COUNTIFS('9. Payroll Allocation'!$B$234:$B$253,$O657,'9. Payroll Allocation'!$H$234:$H$253,"Tied out"))&gt;0,"Linked","MISSING DETAIL")))</f>
        <v/>
      </c>
      <c r="T657" s="58" t="str">
        <f t="shared" si="97"/>
        <v/>
      </c>
      <c r="U657" s="59" t="str">
        <f>IF($T657="","",COUNTIF($T$6:$T657,"?*"))</f>
        <v/>
      </c>
      <c r="V657" s="58" t="str">
        <f t="shared" si="98"/>
        <v/>
      </c>
    </row>
    <row r="658" spans="1:22" ht="12.95" customHeight="1" x14ac:dyDescent="0.25">
      <c r="A658" s="52" t="str">
        <f t="shared" si="90"/>
        <v/>
      </c>
      <c r="B658" s="37"/>
      <c r="C658" s="28"/>
      <c r="D658" s="35"/>
      <c r="E658" s="38"/>
      <c r="F658" s="38"/>
      <c r="G658" s="52" t="str">
        <f t="shared" si="91"/>
        <v/>
      </c>
      <c r="H658" s="53" t="str">
        <f t="shared" si="92"/>
        <v/>
      </c>
      <c r="I658" s="40"/>
      <c r="J658" s="54" t="str">
        <f t="shared" si="93"/>
        <v/>
      </c>
      <c r="K658" s="41" t="str">
        <f t="shared" si="94"/>
        <v/>
      </c>
      <c r="L658" s="55"/>
      <c r="M658" s="56">
        <f t="shared" si="95"/>
        <v>0</v>
      </c>
      <c r="N658" s="56">
        <f t="shared" si="96"/>
        <v>0</v>
      </c>
      <c r="O658" s="57"/>
      <c r="P658" s="40"/>
      <c r="Q658" s="52" t="str">
        <f>IF($D658="","",IF($K658&lt;&gt;"Balance Sheet / Clearing","-",IF(SUMPRODUCT(--(LEFT('7. Settlements'!$J$8:$J$107,7)=$A658),--('7. Settlements'!$M$8:$M$107="Tied out"))+SUMPRODUCT(--(LEFT('8. Transfers'!$H$9:$H$108,7)=$A658),--('8. Transfers'!$J$9:$J$108="Matched"))+SUMPRODUCT(--(LEFT('8. Transfers'!$I$9:$I$108,7)=$A658),--('8. Transfers'!$J$9:$J$108="Matched"))+IF($O658="",0,COUNTIFS('9. Payroll Allocation'!$B$234:$B$253,$O658,'9. Payroll Allocation'!$H$234:$H$253,"Tied out"))&gt;0,"Linked","MISSING DETAIL")))</f>
        <v/>
      </c>
      <c r="T658" s="58" t="str">
        <f t="shared" si="97"/>
        <v/>
      </c>
      <c r="U658" s="59" t="str">
        <f>IF($T658="","",COUNTIF($T$6:$T658,"?*"))</f>
        <v/>
      </c>
      <c r="V658" s="58" t="str">
        <f t="shared" si="98"/>
        <v/>
      </c>
    </row>
    <row r="659" spans="1:22" ht="12.95" customHeight="1" x14ac:dyDescent="0.25">
      <c r="A659" s="60" t="str">
        <f t="shared" si="90"/>
        <v/>
      </c>
      <c r="B659" s="37"/>
      <c r="C659" s="28"/>
      <c r="D659" s="35"/>
      <c r="E659" s="38"/>
      <c r="F659" s="38"/>
      <c r="G659" s="60" t="str">
        <f t="shared" si="91"/>
        <v/>
      </c>
      <c r="H659" s="61" t="str">
        <f t="shared" si="92"/>
        <v/>
      </c>
      <c r="I659" s="40"/>
      <c r="J659" s="62" t="str">
        <f t="shared" si="93"/>
        <v/>
      </c>
      <c r="K659" s="45" t="str">
        <f t="shared" si="94"/>
        <v/>
      </c>
      <c r="L659" s="55"/>
      <c r="M659" s="63">
        <f t="shared" si="95"/>
        <v>0</v>
      </c>
      <c r="N659" s="63">
        <f t="shared" si="96"/>
        <v>0</v>
      </c>
      <c r="O659" s="57"/>
      <c r="P659" s="40"/>
      <c r="Q659" s="60" t="str">
        <f>IF($D659="","",IF($K659&lt;&gt;"Balance Sheet / Clearing","-",IF(SUMPRODUCT(--(LEFT('7. Settlements'!$J$8:$J$107,7)=$A659),--('7. Settlements'!$M$8:$M$107="Tied out"))+SUMPRODUCT(--(LEFT('8. Transfers'!$H$9:$H$108,7)=$A659),--('8. Transfers'!$J$9:$J$108="Matched"))+SUMPRODUCT(--(LEFT('8. Transfers'!$I$9:$I$108,7)=$A659),--('8. Transfers'!$J$9:$J$108="Matched"))+IF($O659="",0,COUNTIFS('9. Payroll Allocation'!$B$234:$B$253,$O659,'9. Payroll Allocation'!$H$234:$H$253,"Tied out"))&gt;0,"Linked","MISSING DETAIL")))</f>
        <v/>
      </c>
      <c r="T659" s="58" t="str">
        <f t="shared" si="97"/>
        <v/>
      </c>
      <c r="U659" s="59" t="str">
        <f>IF($T659="","",COUNTIF($T$6:$T659,"?*"))</f>
        <v/>
      </c>
      <c r="V659" s="58" t="str">
        <f t="shared" si="98"/>
        <v/>
      </c>
    </row>
    <row r="660" spans="1:22" ht="12.95" customHeight="1" x14ac:dyDescent="0.25">
      <c r="A660" s="52" t="str">
        <f t="shared" si="90"/>
        <v/>
      </c>
      <c r="B660" s="37"/>
      <c r="C660" s="28"/>
      <c r="D660" s="35"/>
      <c r="E660" s="38"/>
      <c r="F660" s="38"/>
      <c r="G660" s="52" t="str">
        <f t="shared" si="91"/>
        <v/>
      </c>
      <c r="H660" s="53" t="str">
        <f t="shared" si="92"/>
        <v/>
      </c>
      <c r="I660" s="40"/>
      <c r="J660" s="54" t="str">
        <f t="shared" si="93"/>
        <v/>
      </c>
      <c r="K660" s="41" t="str">
        <f t="shared" si="94"/>
        <v/>
      </c>
      <c r="L660" s="55"/>
      <c r="M660" s="56">
        <f t="shared" si="95"/>
        <v>0</v>
      </c>
      <c r="N660" s="56">
        <f t="shared" si="96"/>
        <v>0</v>
      </c>
      <c r="O660" s="57"/>
      <c r="P660" s="40"/>
      <c r="Q660" s="52" t="str">
        <f>IF($D660="","",IF($K660&lt;&gt;"Balance Sheet / Clearing","-",IF(SUMPRODUCT(--(LEFT('7. Settlements'!$J$8:$J$107,7)=$A660),--('7. Settlements'!$M$8:$M$107="Tied out"))+SUMPRODUCT(--(LEFT('8. Transfers'!$H$9:$H$108,7)=$A660),--('8. Transfers'!$J$9:$J$108="Matched"))+SUMPRODUCT(--(LEFT('8. Transfers'!$I$9:$I$108,7)=$A660),--('8. Transfers'!$J$9:$J$108="Matched"))+IF($O660="",0,COUNTIFS('9. Payroll Allocation'!$B$234:$B$253,$O660,'9. Payroll Allocation'!$H$234:$H$253,"Tied out"))&gt;0,"Linked","MISSING DETAIL")))</f>
        <v/>
      </c>
      <c r="T660" s="58" t="str">
        <f t="shared" si="97"/>
        <v/>
      </c>
      <c r="U660" s="59" t="str">
        <f>IF($T660="","",COUNTIF($T$6:$T660,"?*"))</f>
        <v/>
      </c>
      <c r="V660" s="58" t="str">
        <f t="shared" si="98"/>
        <v/>
      </c>
    </row>
    <row r="661" spans="1:22" ht="12.95" customHeight="1" x14ac:dyDescent="0.25">
      <c r="A661" s="60" t="str">
        <f t="shared" si="90"/>
        <v/>
      </c>
      <c r="B661" s="37"/>
      <c r="C661" s="28"/>
      <c r="D661" s="35"/>
      <c r="E661" s="38"/>
      <c r="F661" s="38"/>
      <c r="G661" s="60" t="str">
        <f t="shared" si="91"/>
        <v/>
      </c>
      <c r="H661" s="61" t="str">
        <f t="shared" si="92"/>
        <v/>
      </c>
      <c r="I661" s="40"/>
      <c r="J661" s="62" t="str">
        <f t="shared" si="93"/>
        <v/>
      </c>
      <c r="K661" s="45" t="str">
        <f t="shared" si="94"/>
        <v/>
      </c>
      <c r="L661" s="55"/>
      <c r="M661" s="63">
        <f t="shared" si="95"/>
        <v>0</v>
      </c>
      <c r="N661" s="63">
        <f t="shared" si="96"/>
        <v>0</v>
      </c>
      <c r="O661" s="57"/>
      <c r="P661" s="40"/>
      <c r="Q661" s="60" t="str">
        <f>IF($D661="","",IF($K661&lt;&gt;"Balance Sheet / Clearing","-",IF(SUMPRODUCT(--(LEFT('7. Settlements'!$J$8:$J$107,7)=$A661),--('7. Settlements'!$M$8:$M$107="Tied out"))+SUMPRODUCT(--(LEFT('8. Transfers'!$H$9:$H$108,7)=$A661),--('8. Transfers'!$J$9:$J$108="Matched"))+SUMPRODUCT(--(LEFT('8. Transfers'!$I$9:$I$108,7)=$A661),--('8. Transfers'!$J$9:$J$108="Matched"))+IF($O661="",0,COUNTIFS('9. Payroll Allocation'!$B$234:$B$253,$O661,'9. Payroll Allocation'!$H$234:$H$253,"Tied out"))&gt;0,"Linked","MISSING DETAIL")))</f>
        <v/>
      </c>
      <c r="T661" s="58" t="str">
        <f t="shared" si="97"/>
        <v/>
      </c>
      <c r="U661" s="59" t="str">
        <f>IF($T661="","",COUNTIF($T$6:$T661,"?*"))</f>
        <v/>
      </c>
      <c r="V661" s="58" t="str">
        <f t="shared" si="98"/>
        <v/>
      </c>
    </row>
    <row r="662" spans="1:22" ht="12.95" customHeight="1" x14ac:dyDescent="0.25">
      <c r="A662" s="52" t="str">
        <f t="shared" si="90"/>
        <v/>
      </c>
      <c r="B662" s="37"/>
      <c r="C662" s="28"/>
      <c r="D662" s="35"/>
      <c r="E662" s="38"/>
      <c r="F662" s="38"/>
      <c r="G662" s="52" t="str">
        <f t="shared" si="91"/>
        <v/>
      </c>
      <c r="H662" s="53" t="str">
        <f t="shared" si="92"/>
        <v/>
      </c>
      <c r="I662" s="40"/>
      <c r="J662" s="54" t="str">
        <f t="shared" si="93"/>
        <v/>
      </c>
      <c r="K662" s="41" t="str">
        <f t="shared" si="94"/>
        <v/>
      </c>
      <c r="L662" s="55"/>
      <c r="M662" s="56">
        <f t="shared" si="95"/>
        <v>0</v>
      </c>
      <c r="N662" s="56">
        <f t="shared" si="96"/>
        <v>0</v>
      </c>
      <c r="O662" s="57"/>
      <c r="P662" s="40"/>
      <c r="Q662" s="52" t="str">
        <f>IF($D662="","",IF($K662&lt;&gt;"Balance Sheet / Clearing","-",IF(SUMPRODUCT(--(LEFT('7. Settlements'!$J$8:$J$107,7)=$A662),--('7. Settlements'!$M$8:$M$107="Tied out"))+SUMPRODUCT(--(LEFT('8. Transfers'!$H$9:$H$108,7)=$A662),--('8. Transfers'!$J$9:$J$108="Matched"))+SUMPRODUCT(--(LEFT('8. Transfers'!$I$9:$I$108,7)=$A662),--('8. Transfers'!$J$9:$J$108="Matched"))+IF($O662="",0,COUNTIFS('9. Payroll Allocation'!$B$234:$B$253,$O662,'9. Payroll Allocation'!$H$234:$H$253,"Tied out"))&gt;0,"Linked","MISSING DETAIL")))</f>
        <v/>
      </c>
      <c r="T662" s="58" t="str">
        <f t="shared" si="97"/>
        <v/>
      </c>
      <c r="U662" s="59" t="str">
        <f>IF($T662="","",COUNTIF($T$6:$T662,"?*"))</f>
        <v/>
      </c>
      <c r="V662" s="58" t="str">
        <f t="shared" si="98"/>
        <v/>
      </c>
    </row>
    <row r="663" spans="1:22" ht="12.95" customHeight="1" x14ac:dyDescent="0.25">
      <c r="A663" s="60" t="str">
        <f t="shared" si="90"/>
        <v/>
      </c>
      <c r="B663" s="37"/>
      <c r="C663" s="28"/>
      <c r="D663" s="35"/>
      <c r="E663" s="38"/>
      <c r="F663" s="38"/>
      <c r="G663" s="60" t="str">
        <f t="shared" si="91"/>
        <v/>
      </c>
      <c r="H663" s="61" t="str">
        <f t="shared" si="92"/>
        <v/>
      </c>
      <c r="I663" s="40"/>
      <c r="J663" s="62" t="str">
        <f t="shared" si="93"/>
        <v/>
      </c>
      <c r="K663" s="45" t="str">
        <f t="shared" si="94"/>
        <v/>
      </c>
      <c r="L663" s="55"/>
      <c r="M663" s="63">
        <f t="shared" si="95"/>
        <v>0</v>
      </c>
      <c r="N663" s="63">
        <f t="shared" si="96"/>
        <v>0</v>
      </c>
      <c r="O663" s="57"/>
      <c r="P663" s="40"/>
      <c r="Q663" s="60" t="str">
        <f>IF($D663="","",IF($K663&lt;&gt;"Balance Sheet / Clearing","-",IF(SUMPRODUCT(--(LEFT('7. Settlements'!$J$8:$J$107,7)=$A663),--('7. Settlements'!$M$8:$M$107="Tied out"))+SUMPRODUCT(--(LEFT('8. Transfers'!$H$9:$H$108,7)=$A663),--('8. Transfers'!$J$9:$J$108="Matched"))+SUMPRODUCT(--(LEFT('8. Transfers'!$I$9:$I$108,7)=$A663),--('8. Transfers'!$J$9:$J$108="Matched"))+IF($O663="",0,COUNTIFS('9. Payroll Allocation'!$B$234:$B$253,$O663,'9. Payroll Allocation'!$H$234:$H$253,"Tied out"))&gt;0,"Linked","MISSING DETAIL")))</f>
        <v/>
      </c>
      <c r="T663" s="58" t="str">
        <f t="shared" si="97"/>
        <v/>
      </c>
      <c r="U663" s="59" t="str">
        <f>IF($T663="","",COUNTIF($T$6:$T663,"?*"))</f>
        <v/>
      </c>
      <c r="V663" s="58" t="str">
        <f t="shared" si="98"/>
        <v/>
      </c>
    </row>
    <row r="664" spans="1:22" ht="12.95" customHeight="1" x14ac:dyDescent="0.25">
      <c r="A664" s="52" t="str">
        <f t="shared" si="90"/>
        <v/>
      </c>
      <c r="B664" s="37"/>
      <c r="C664" s="28"/>
      <c r="D664" s="35"/>
      <c r="E664" s="38"/>
      <c r="F664" s="38"/>
      <c r="G664" s="52" t="str">
        <f t="shared" si="91"/>
        <v/>
      </c>
      <c r="H664" s="53" t="str">
        <f t="shared" si="92"/>
        <v/>
      </c>
      <c r="I664" s="40"/>
      <c r="J664" s="54" t="str">
        <f t="shared" si="93"/>
        <v/>
      </c>
      <c r="K664" s="41" t="str">
        <f t="shared" si="94"/>
        <v/>
      </c>
      <c r="L664" s="55"/>
      <c r="M664" s="56">
        <f t="shared" si="95"/>
        <v>0</v>
      </c>
      <c r="N664" s="56">
        <f t="shared" si="96"/>
        <v>0</v>
      </c>
      <c r="O664" s="57"/>
      <c r="P664" s="40"/>
      <c r="Q664" s="52" t="str">
        <f>IF($D664="","",IF($K664&lt;&gt;"Balance Sheet / Clearing","-",IF(SUMPRODUCT(--(LEFT('7. Settlements'!$J$8:$J$107,7)=$A664),--('7. Settlements'!$M$8:$M$107="Tied out"))+SUMPRODUCT(--(LEFT('8. Transfers'!$H$9:$H$108,7)=$A664),--('8. Transfers'!$J$9:$J$108="Matched"))+SUMPRODUCT(--(LEFT('8. Transfers'!$I$9:$I$108,7)=$A664),--('8. Transfers'!$J$9:$J$108="Matched"))+IF($O664="",0,COUNTIFS('9. Payroll Allocation'!$B$234:$B$253,$O664,'9. Payroll Allocation'!$H$234:$H$253,"Tied out"))&gt;0,"Linked","MISSING DETAIL")))</f>
        <v/>
      </c>
      <c r="T664" s="58" t="str">
        <f t="shared" si="97"/>
        <v/>
      </c>
      <c r="U664" s="59" t="str">
        <f>IF($T664="","",COUNTIF($T$6:$T664,"?*"))</f>
        <v/>
      </c>
      <c r="V664" s="58" t="str">
        <f t="shared" si="98"/>
        <v/>
      </c>
    </row>
    <row r="665" spans="1:22" ht="12.95" customHeight="1" x14ac:dyDescent="0.25">
      <c r="A665" s="60" t="str">
        <f t="shared" si="90"/>
        <v/>
      </c>
      <c r="B665" s="37"/>
      <c r="C665" s="28"/>
      <c r="D665" s="35"/>
      <c r="E665" s="38"/>
      <c r="F665" s="38"/>
      <c r="G665" s="60" t="str">
        <f t="shared" si="91"/>
        <v/>
      </c>
      <c r="H665" s="61" t="str">
        <f t="shared" si="92"/>
        <v/>
      </c>
      <c r="I665" s="40"/>
      <c r="J665" s="62" t="str">
        <f t="shared" si="93"/>
        <v/>
      </c>
      <c r="K665" s="45" t="str">
        <f t="shared" si="94"/>
        <v/>
      </c>
      <c r="L665" s="55"/>
      <c r="M665" s="63">
        <f t="shared" si="95"/>
        <v>0</v>
      </c>
      <c r="N665" s="63">
        <f t="shared" si="96"/>
        <v>0</v>
      </c>
      <c r="O665" s="57"/>
      <c r="P665" s="40"/>
      <c r="Q665" s="60" t="str">
        <f>IF($D665="","",IF($K665&lt;&gt;"Balance Sheet / Clearing","-",IF(SUMPRODUCT(--(LEFT('7. Settlements'!$J$8:$J$107,7)=$A665),--('7. Settlements'!$M$8:$M$107="Tied out"))+SUMPRODUCT(--(LEFT('8. Transfers'!$H$9:$H$108,7)=$A665),--('8. Transfers'!$J$9:$J$108="Matched"))+SUMPRODUCT(--(LEFT('8. Transfers'!$I$9:$I$108,7)=$A665),--('8. Transfers'!$J$9:$J$108="Matched"))+IF($O665="",0,COUNTIFS('9. Payroll Allocation'!$B$234:$B$253,$O665,'9. Payroll Allocation'!$H$234:$H$253,"Tied out"))&gt;0,"Linked","MISSING DETAIL")))</f>
        <v/>
      </c>
      <c r="T665" s="58" t="str">
        <f t="shared" si="97"/>
        <v/>
      </c>
      <c r="U665" s="59" t="str">
        <f>IF($T665="","",COUNTIF($T$6:$T665,"?*"))</f>
        <v/>
      </c>
      <c r="V665" s="58" t="str">
        <f t="shared" si="98"/>
        <v/>
      </c>
    </row>
    <row r="666" spans="1:22" ht="12.95" customHeight="1" x14ac:dyDescent="0.25">
      <c r="A666" s="52" t="str">
        <f t="shared" si="90"/>
        <v/>
      </c>
      <c r="B666" s="37"/>
      <c r="C666" s="28"/>
      <c r="D666" s="35"/>
      <c r="E666" s="38"/>
      <c r="F666" s="38"/>
      <c r="G666" s="52" t="str">
        <f t="shared" si="91"/>
        <v/>
      </c>
      <c r="H666" s="53" t="str">
        <f t="shared" si="92"/>
        <v/>
      </c>
      <c r="I666" s="40"/>
      <c r="J666" s="54" t="str">
        <f t="shared" si="93"/>
        <v/>
      </c>
      <c r="K666" s="41" t="str">
        <f t="shared" si="94"/>
        <v/>
      </c>
      <c r="L666" s="55"/>
      <c r="M666" s="56">
        <f t="shared" si="95"/>
        <v>0</v>
      </c>
      <c r="N666" s="56">
        <f t="shared" si="96"/>
        <v>0</v>
      </c>
      <c r="O666" s="57"/>
      <c r="P666" s="40"/>
      <c r="Q666" s="52" t="str">
        <f>IF($D666="","",IF($K666&lt;&gt;"Balance Sheet / Clearing","-",IF(SUMPRODUCT(--(LEFT('7. Settlements'!$J$8:$J$107,7)=$A666),--('7. Settlements'!$M$8:$M$107="Tied out"))+SUMPRODUCT(--(LEFT('8. Transfers'!$H$9:$H$108,7)=$A666),--('8. Transfers'!$J$9:$J$108="Matched"))+SUMPRODUCT(--(LEFT('8. Transfers'!$I$9:$I$108,7)=$A666),--('8. Transfers'!$J$9:$J$108="Matched"))+IF($O666="",0,COUNTIFS('9. Payroll Allocation'!$B$234:$B$253,$O666,'9. Payroll Allocation'!$H$234:$H$253,"Tied out"))&gt;0,"Linked","MISSING DETAIL")))</f>
        <v/>
      </c>
      <c r="T666" s="58" t="str">
        <f t="shared" si="97"/>
        <v/>
      </c>
      <c r="U666" s="59" t="str">
        <f>IF($T666="","",COUNTIF($T$6:$T666,"?*"))</f>
        <v/>
      </c>
      <c r="V666" s="58" t="str">
        <f t="shared" si="98"/>
        <v/>
      </c>
    </row>
    <row r="667" spans="1:22" ht="12.95" customHeight="1" x14ac:dyDescent="0.25">
      <c r="A667" s="60" t="str">
        <f t="shared" si="90"/>
        <v/>
      </c>
      <c r="B667" s="37"/>
      <c r="C667" s="28"/>
      <c r="D667" s="35"/>
      <c r="E667" s="38"/>
      <c r="F667" s="38"/>
      <c r="G667" s="60" t="str">
        <f t="shared" si="91"/>
        <v/>
      </c>
      <c r="H667" s="61" t="str">
        <f t="shared" si="92"/>
        <v/>
      </c>
      <c r="I667" s="40"/>
      <c r="J667" s="62" t="str">
        <f t="shared" si="93"/>
        <v/>
      </c>
      <c r="K667" s="45" t="str">
        <f t="shared" si="94"/>
        <v/>
      </c>
      <c r="L667" s="55"/>
      <c r="M667" s="63">
        <f t="shared" si="95"/>
        <v>0</v>
      </c>
      <c r="N667" s="63">
        <f t="shared" si="96"/>
        <v>0</v>
      </c>
      <c r="O667" s="57"/>
      <c r="P667" s="40"/>
      <c r="Q667" s="60" t="str">
        <f>IF($D667="","",IF($K667&lt;&gt;"Balance Sheet / Clearing","-",IF(SUMPRODUCT(--(LEFT('7. Settlements'!$J$8:$J$107,7)=$A667),--('7. Settlements'!$M$8:$M$107="Tied out"))+SUMPRODUCT(--(LEFT('8. Transfers'!$H$9:$H$108,7)=$A667),--('8. Transfers'!$J$9:$J$108="Matched"))+SUMPRODUCT(--(LEFT('8. Transfers'!$I$9:$I$108,7)=$A667),--('8. Transfers'!$J$9:$J$108="Matched"))+IF($O667="",0,COUNTIFS('9. Payroll Allocation'!$B$234:$B$253,$O667,'9. Payroll Allocation'!$H$234:$H$253,"Tied out"))&gt;0,"Linked","MISSING DETAIL")))</f>
        <v/>
      </c>
      <c r="T667" s="58" t="str">
        <f t="shared" si="97"/>
        <v/>
      </c>
      <c r="U667" s="59" t="str">
        <f>IF($T667="","",COUNTIF($T$6:$T667,"?*"))</f>
        <v/>
      </c>
      <c r="V667" s="58" t="str">
        <f t="shared" si="98"/>
        <v/>
      </c>
    </row>
    <row r="668" spans="1:22" ht="12.95" customHeight="1" x14ac:dyDescent="0.25">
      <c r="A668" s="52" t="str">
        <f t="shared" si="90"/>
        <v/>
      </c>
      <c r="B668" s="37"/>
      <c r="C668" s="28"/>
      <c r="D668" s="35"/>
      <c r="E668" s="38"/>
      <c r="F668" s="38"/>
      <c r="G668" s="52" t="str">
        <f t="shared" si="91"/>
        <v/>
      </c>
      <c r="H668" s="53" t="str">
        <f t="shared" si="92"/>
        <v/>
      </c>
      <c r="I668" s="40"/>
      <c r="J668" s="54" t="str">
        <f t="shared" si="93"/>
        <v/>
      </c>
      <c r="K668" s="41" t="str">
        <f t="shared" si="94"/>
        <v/>
      </c>
      <c r="L668" s="55"/>
      <c r="M668" s="56">
        <f t="shared" si="95"/>
        <v>0</v>
      </c>
      <c r="N668" s="56">
        <f t="shared" si="96"/>
        <v>0</v>
      </c>
      <c r="O668" s="57"/>
      <c r="P668" s="40"/>
      <c r="Q668" s="52" t="str">
        <f>IF($D668="","",IF($K668&lt;&gt;"Balance Sheet / Clearing","-",IF(SUMPRODUCT(--(LEFT('7. Settlements'!$J$8:$J$107,7)=$A668),--('7. Settlements'!$M$8:$M$107="Tied out"))+SUMPRODUCT(--(LEFT('8. Transfers'!$H$9:$H$108,7)=$A668),--('8. Transfers'!$J$9:$J$108="Matched"))+SUMPRODUCT(--(LEFT('8. Transfers'!$I$9:$I$108,7)=$A668),--('8. Transfers'!$J$9:$J$108="Matched"))+IF($O668="",0,COUNTIFS('9. Payroll Allocation'!$B$234:$B$253,$O668,'9. Payroll Allocation'!$H$234:$H$253,"Tied out"))&gt;0,"Linked","MISSING DETAIL")))</f>
        <v/>
      </c>
      <c r="T668" s="58" t="str">
        <f t="shared" si="97"/>
        <v/>
      </c>
      <c r="U668" s="59" t="str">
        <f>IF($T668="","",COUNTIF($T$6:$T668,"?*"))</f>
        <v/>
      </c>
      <c r="V668" s="58" t="str">
        <f t="shared" si="98"/>
        <v/>
      </c>
    </row>
    <row r="669" spans="1:22" ht="12.95" customHeight="1" x14ac:dyDescent="0.25">
      <c r="A669" s="60" t="str">
        <f t="shared" si="90"/>
        <v/>
      </c>
      <c r="B669" s="37"/>
      <c r="C669" s="28"/>
      <c r="D669" s="35"/>
      <c r="E669" s="38"/>
      <c r="F669" s="38"/>
      <c r="G669" s="60" t="str">
        <f t="shared" si="91"/>
        <v/>
      </c>
      <c r="H669" s="61" t="str">
        <f t="shared" si="92"/>
        <v/>
      </c>
      <c r="I669" s="40"/>
      <c r="J669" s="62" t="str">
        <f t="shared" si="93"/>
        <v/>
      </c>
      <c r="K669" s="45" t="str">
        <f t="shared" si="94"/>
        <v/>
      </c>
      <c r="L669" s="55"/>
      <c r="M669" s="63">
        <f t="shared" si="95"/>
        <v>0</v>
      </c>
      <c r="N669" s="63">
        <f t="shared" si="96"/>
        <v>0</v>
      </c>
      <c r="O669" s="57"/>
      <c r="P669" s="40"/>
      <c r="Q669" s="60" t="str">
        <f>IF($D669="","",IF($K669&lt;&gt;"Balance Sheet / Clearing","-",IF(SUMPRODUCT(--(LEFT('7. Settlements'!$J$8:$J$107,7)=$A669),--('7. Settlements'!$M$8:$M$107="Tied out"))+SUMPRODUCT(--(LEFT('8. Transfers'!$H$9:$H$108,7)=$A669),--('8. Transfers'!$J$9:$J$108="Matched"))+SUMPRODUCT(--(LEFT('8. Transfers'!$I$9:$I$108,7)=$A669),--('8. Transfers'!$J$9:$J$108="Matched"))+IF($O669="",0,COUNTIFS('9. Payroll Allocation'!$B$234:$B$253,$O669,'9. Payroll Allocation'!$H$234:$H$253,"Tied out"))&gt;0,"Linked","MISSING DETAIL")))</f>
        <v/>
      </c>
      <c r="T669" s="58" t="str">
        <f t="shared" si="97"/>
        <v/>
      </c>
      <c r="U669" s="59" t="str">
        <f>IF($T669="","",COUNTIF($T$6:$T669,"?*"))</f>
        <v/>
      </c>
      <c r="V669" s="58" t="str">
        <f t="shared" si="98"/>
        <v/>
      </c>
    </row>
    <row r="670" spans="1:22" ht="12.95" customHeight="1" x14ac:dyDescent="0.25">
      <c r="A670" s="52" t="str">
        <f t="shared" si="90"/>
        <v/>
      </c>
      <c r="B670" s="37"/>
      <c r="C670" s="28"/>
      <c r="D670" s="35"/>
      <c r="E670" s="38"/>
      <c r="F670" s="38"/>
      <c r="G670" s="52" t="str">
        <f t="shared" si="91"/>
        <v/>
      </c>
      <c r="H670" s="53" t="str">
        <f t="shared" si="92"/>
        <v/>
      </c>
      <c r="I670" s="40"/>
      <c r="J670" s="54" t="str">
        <f t="shared" si="93"/>
        <v/>
      </c>
      <c r="K670" s="41" t="str">
        <f t="shared" si="94"/>
        <v/>
      </c>
      <c r="L670" s="55"/>
      <c r="M670" s="56">
        <f t="shared" si="95"/>
        <v>0</v>
      </c>
      <c r="N670" s="56">
        <f t="shared" si="96"/>
        <v>0</v>
      </c>
      <c r="O670" s="57"/>
      <c r="P670" s="40"/>
      <c r="Q670" s="52" t="str">
        <f>IF($D670="","",IF($K670&lt;&gt;"Balance Sheet / Clearing","-",IF(SUMPRODUCT(--(LEFT('7. Settlements'!$J$8:$J$107,7)=$A670),--('7. Settlements'!$M$8:$M$107="Tied out"))+SUMPRODUCT(--(LEFT('8. Transfers'!$H$9:$H$108,7)=$A670),--('8. Transfers'!$J$9:$J$108="Matched"))+SUMPRODUCT(--(LEFT('8. Transfers'!$I$9:$I$108,7)=$A670),--('8. Transfers'!$J$9:$J$108="Matched"))+IF($O670="",0,COUNTIFS('9. Payroll Allocation'!$B$234:$B$253,$O670,'9. Payroll Allocation'!$H$234:$H$253,"Tied out"))&gt;0,"Linked","MISSING DETAIL")))</f>
        <v/>
      </c>
      <c r="T670" s="58" t="str">
        <f t="shared" si="97"/>
        <v/>
      </c>
      <c r="U670" s="59" t="str">
        <f>IF($T670="","",COUNTIF($T$6:$T670,"?*"))</f>
        <v/>
      </c>
      <c r="V670" s="58" t="str">
        <f t="shared" si="98"/>
        <v/>
      </c>
    </row>
    <row r="671" spans="1:22" ht="12.95" customHeight="1" x14ac:dyDescent="0.25">
      <c r="A671" s="60" t="str">
        <f t="shared" si="90"/>
        <v/>
      </c>
      <c r="B671" s="37"/>
      <c r="C671" s="28"/>
      <c r="D671" s="35"/>
      <c r="E671" s="38"/>
      <c r="F671" s="38"/>
      <c r="G671" s="60" t="str">
        <f t="shared" si="91"/>
        <v/>
      </c>
      <c r="H671" s="61" t="str">
        <f t="shared" si="92"/>
        <v/>
      </c>
      <c r="I671" s="40"/>
      <c r="J671" s="62" t="str">
        <f t="shared" si="93"/>
        <v/>
      </c>
      <c r="K671" s="45" t="str">
        <f t="shared" si="94"/>
        <v/>
      </c>
      <c r="L671" s="55"/>
      <c r="M671" s="63">
        <f t="shared" si="95"/>
        <v>0</v>
      </c>
      <c r="N671" s="63">
        <f t="shared" si="96"/>
        <v>0</v>
      </c>
      <c r="O671" s="57"/>
      <c r="P671" s="40"/>
      <c r="Q671" s="60" t="str">
        <f>IF($D671="","",IF($K671&lt;&gt;"Balance Sheet / Clearing","-",IF(SUMPRODUCT(--(LEFT('7. Settlements'!$J$8:$J$107,7)=$A671),--('7. Settlements'!$M$8:$M$107="Tied out"))+SUMPRODUCT(--(LEFT('8. Transfers'!$H$9:$H$108,7)=$A671),--('8. Transfers'!$J$9:$J$108="Matched"))+SUMPRODUCT(--(LEFT('8. Transfers'!$I$9:$I$108,7)=$A671),--('8. Transfers'!$J$9:$J$108="Matched"))+IF($O671="",0,COUNTIFS('9. Payroll Allocation'!$B$234:$B$253,$O671,'9. Payroll Allocation'!$H$234:$H$253,"Tied out"))&gt;0,"Linked","MISSING DETAIL")))</f>
        <v/>
      </c>
      <c r="T671" s="58" t="str">
        <f t="shared" si="97"/>
        <v/>
      </c>
      <c r="U671" s="59" t="str">
        <f>IF($T671="","",COUNTIF($T$6:$T671,"?*"))</f>
        <v/>
      </c>
      <c r="V671" s="58" t="str">
        <f t="shared" si="98"/>
        <v/>
      </c>
    </row>
    <row r="672" spans="1:22" ht="12.95" customHeight="1" x14ac:dyDescent="0.25">
      <c r="A672" s="52" t="str">
        <f t="shared" si="90"/>
        <v/>
      </c>
      <c r="B672" s="37"/>
      <c r="C672" s="28"/>
      <c r="D672" s="35"/>
      <c r="E672" s="38"/>
      <c r="F672" s="38"/>
      <c r="G672" s="52" t="str">
        <f t="shared" si="91"/>
        <v/>
      </c>
      <c r="H672" s="53" t="str">
        <f t="shared" si="92"/>
        <v/>
      </c>
      <c r="I672" s="40"/>
      <c r="J672" s="54" t="str">
        <f t="shared" si="93"/>
        <v/>
      </c>
      <c r="K672" s="41" t="str">
        <f t="shared" si="94"/>
        <v/>
      </c>
      <c r="L672" s="55"/>
      <c r="M672" s="56">
        <f t="shared" si="95"/>
        <v>0</v>
      </c>
      <c r="N672" s="56">
        <f t="shared" si="96"/>
        <v>0</v>
      </c>
      <c r="O672" s="57"/>
      <c r="P672" s="40"/>
      <c r="Q672" s="52" t="str">
        <f>IF($D672="","",IF($K672&lt;&gt;"Balance Sheet / Clearing","-",IF(SUMPRODUCT(--(LEFT('7. Settlements'!$J$8:$J$107,7)=$A672),--('7. Settlements'!$M$8:$M$107="Tied out"))+SUMPRODUCT(--(LEFT('8. Transfers'!$H$9:$H$108,7)=$A672),--('8. Transfers'!$J$9:$J$108="Matched"))+SUMPRODUCT(--(LEFT('8. Transfers'!$I$9:$I$108,7)=$A672),--('8. Transfers'!$J$9:$J$108="Matched"))+IF($O672="",0,COUNTIFS('9. Payroll Allocation'!$B$234:$B$253,$O672,'9. Payroll Allocation'!$H$234:$H$253,"Tied out"))&gt;0,"Linked","MISSING DETAIL")))</f>
        <v/>
      </c>
      <c r="T672" s="58" t="str">
        <f t="shared" si="97"/>
        <v/>
      </c>
      <c r="U672" s="59" t="str">
        <f>IF($T672="","",COUNTIF($T$6:$T672,"?*"))</f>
        <v/>
      </c>
      <c r="V672" s="58" t="str">
        <f t="shared" si="98"/>
        <v/>
      </c>
    </row>
    <row r="673" spans="1:22" ht="12.95" customHeight="1" x14ac:dyDescent="0.25">
      <c r="A673" s="60" t="str">
        <f t="shared" si="90"/>
        <v/>
      </c>
      <c r="B673" s="37"/>
      <c r="C673" s="28"/>
      <c r="D673" s="35"/>
      <c r="E673" s="38"/>
      <c r="F673" s="38"/>
      <c r="G673" s="60" t="str">
        <f t="shared" si="91"/>
        <v/>
      </c>
      <c r="H673" s="61" t="str">
        <f t="shared" si="92"/>
        <v/>
      </c>
      <c r="I673" s="40"/>
      <c r="J673" s="62" t="str">
        <f t="shared" si="93"/>
        <v/>
      </c>
      <c r="K673" s="45" t="str">
        <f t="shared" si="94"/>
        <v/>
      </c>
      <c r="L673" s="55"/>
      <c r="M673" s="63">
        <f t="shared" si="95"/>
        <v>0</v>
      </c>
      <c r="N673" s="63">
        <f t="shared" si="96"/>
        <v>0</v>
      </c>
      <c r="O673" s="57"/>
      <c r="P673" s="40"/>
      <c r="Q673" s="60" t="str">
        <f>IF($D673="","",IF($K673&lt;&gt;"Balance Sheet / Clearing","-",IF(SUMPRODUCT(--(LEFT('7. Settlements'!$J$8:$J$107,7)=$A673),--('7. Settlements'!$M$8:$M$107="Tied out"))+SUMPRODUCT(--(LEFT('8. Transfers'!$H$9:$H$108,7)=$A673),--('8. Transfers'!$J$9:$J$108="Matched"))+SUMPRODUCT(--(LEFT('8. Transfers'!$I$9:$I$108,7)=$A673),--('8. Transfers'!$J$9:$J$108="Matched"))+IF($O673="",0,COUNTIFS('9. Payroll Allocation'!$B$234:$B$253,$O673,'9. Payroll Allocation'!$H$234:$H$253,"Tied out"))&gt;0,"Linked","MISSING DETAIL")))</f>
        <v/>
      </c>
      <c r="T673" s="58" t="str">
        <f t="shared" si="97"/>
        <v/>
      </c>
      <c r="U673" s="59" t="str">
        <f>IF($T673="","",COUNTIF($T$6:$T673,"?*"))</f>
        <v/>
      </c>
      <c r="V673" s="58" t="str">
        <f t="shared" si="98"/>
        <v/>
      </c>
    </row>
    <row r="674" spans="1:22" ht="12.95" customHeight="1" x14ac:dyDescent="0.25">
      <c r="A674" s="52" t="str">
        <f t="shared" si="90"/>
        <v/>
      </c>
      <c r="B674" s="37"/>
      <c r="C674" s="28"/>
      <c r="D674" s="35"/>
      <c r="E674" s="38"/>
      <c r="F674" s="38"/>
      <c r="G674" s="52" t="str">
        <f t="shared" si="91"/>
        <v/>
      </c>
      <c r="H674" s="53" t="str">
        <f t="shared" si="92"/>
        <v/>
      </c>
      <c r="I674" s="40"/>
      <c r="J674" s="54" t="str">
        <f t="shared" si="93"/>
        <v/>
      </c>
      <c r="K674" s="41" t="str">
        <f t="shared" si="94"/>
        <v/>
      </c>
      <c r="L674" s="55"/>
      <c r="M674" s="56">
        <f t="shared" si="95"/>
        <v>0</v>
      </c>
      <c r="N674" s="56">
        <f t="shared" si="96"/>
        <v>0</v>
      </c>
      <c r="O674" s="57"/>
      <c r="P674" s="40"/>
      <c r="Q674" s="52" t="str">
        <f>IF($D674="","",IF($K674&lt;&gt;"Balance Sheet / Clearing","-",IF(SUMPRODUCT(--(LEFT('7. Settlements'!$J$8:$J$107,7)=$A674),--('7. Settlements'!$M$8:$M$107="Tied out"))+SUMPRODUCT(--(LEFT('8. Transfers'!$H$9:$H$108,7)=$A674),--('8. Transfers'!$J$9:$J$108="Matched"))+SUMPRODUCT(--(LEFT('8. Transfers'!$I$9:$I$108,7)=$A674),--('8. Transfers'!$J$9:$J$108="Matched"))+IF($O674="",0,COUNTIFS('9. Payroll Allocation'!$B$234:$B$253,$O674,'9. Payroll Allocation'!$H$234:$H$253,"Tied out"))&gt;0,"Linked","MISSING DETAIL")))</f>
        <v/>
      </c>
      <c r="T674" s="58" t="str">
        <f t="shared" si="97"/>
        <v/>
      </c>
      <c r="U674" s="59" t="str">
        <f>IF($T674="","",COUNTIF($T$6:$T674,"?*"))</f>
        <v/>
      </c>
      <c r="V674" s="58" t="str">
        <f t="shared" si="98"/>
        <v/>
      </c>
    </row>
    <row r="675" spans="1:22" ht="12.95" customHeight="1" x14ac:dyDescent="0.25">
      <c r="A675" s="60" t="str">
        <f t="shared" si="90"/>
        <v/>
      </c>
      <c r="B675" s="37"/>
      <c r="C675" s="28"/>
      <c r="D675" s="35"/>
      <c r="E675" s="38"/>
      <c r="F675" s="38"/>
      <c r="G675" s="60" t="str">
        <f t="shared" si="91"/>
        <v/>
      </c>
      <c r="H675" s="61" t="str">
        <f t="shared" si="92"/>
        <v/>
      </c>
      <c r="I675" s="40"/>
      <c r="J675" s="62" t="str">
        <f t="shared" si="93"/>
        <v/>
      </c>
      <c r="K675" s="45" t="str">
        <f t="shared" si="94"/>
        <v/>
      </c>
      <c r="L675" s="55"/>
      <c r="M675" s="63">
        <f t="shared" si="95"/>
        <v>0</v>
      </c>
      <c r="N675" s="63">
        <f t="shared" si="96"/>
        <v>0</v>
      </c>
      <c r="O675" s="57"/>
      <c r="P675" s="40"/>
      <c r="Q675" s="60" t="str">
        <f>IF($D675="","",IF($K675&lt;&gt;"Balance Sheet / Clearing","-",IF(SUMPRODUCT(--(LEFT('7. Settlements'!$J$8:$J$107,7)=$A675),--('7. Settlements'!$M$8:$M$107="Tied out"))+SUMPRODUCT(--(LEFT('8. Transfers'!$H$9:$H$108,7)=$A675),--('8. Transfers'!$J$9:$J$108="Matched"))+SUMPRODUCT(--(LEFT('8. Transfers'!$I$9:$I$108,7)=$A675),--('8. Transfers'!$J$9:$J$108="Matched"))+IF($O675="",0,COUNTIFS('9. Payroll Allocation'!$B$234:$B$253,$O675,'9. Payroll Allocation'!$H$234:$H$253,"Tied out"))&gt;0,"Linked","MISSING DETAIL")))</f>
        <v/>
      </c>
      <c r="T675" s="58" t="str">
        <f t="shared" si="97"/>
        <v/>
      </c>
      <c r="U675" s="59" t="str">
        <f>IF($T675="","",COUNTIF($T$6:$T675,"?*"))</f>
        <v/>
      </c>
      <c r="V675" s="58" t="str">
        <f t="shared" si="98"/>
        <v/>
      </c>
    </row>
    <row r="676" spans="1:22" ht="12.95" customHeight="1" x14ac:dyDescent="0.25">
      <c r="A676" s="52" t="str">
        <f t="shared" si="90"/>
        <v/>
      </c>
      <c r="B676" s="37"/>
      <c r="C676" s="28"/>
      <c r="D676" s="35"/>
      <c r="E676" s="38"/>
      <c r="F676" s="38"/>
      <c r="G676" s="52" t="str">
        <f t="shared" si="91"/>
        <v/>
      </c>
      <c r="H676" s="53" t="str">
        <f t="shared" si="92"/>
        <v/>
      </c>
      <c r="I676" s="40"/>
      <c r="J676" s="54" t="str">
        <f t="shared" si="93"/>
        <v/>
      </c>
      <c r="K676" s="41" t="str">
        <f t="shared" si="94"/>
        <v/>
      </c>
      <c r="L676" s="55"/>
      <c r="M676" s="56">
        <f t="shared" si="95"/>
        <v>0</v>
      </c>
      <c r="N676" s="56">
        <f t="shared" si="96"/>
        <v>0</v>
      </c>
      <c r="O676" s="57"/>
      <c r="P676" s="40"/>
      <c r="Q676" s="52" t="str">
        <f>IF($D676="","",IF($K676&lt;&gt;"Balance Sheet / Clearing","-",IF(SUMPRODUCT(--(LEFT('7. Settlements'!$J$8:$J$107,7)=$A676),--('7. Settlements'!$M$8:$M$107="Tied out"))+SUMPRODUCT(--(LEFT('8. Transfers'!$H$9:$H$108,7)=$A676),--('8. Transfers'!$J$9:$J$108="Matched"))+SUMPRODUCT(--(LEFT('8. Transfers'!$I$9:$I$108,7)=$A676),--('8. Transfers'!$J$9:$J$108="Matched"))+IF($O676="",0,COUNTIFS('9. Payroll Allocation'!$B$234:$B$253,$O676,'9. Payroll Allocation'!$H$234:$H$253,"Tied out"))&gt;0,"Linked","MISSING DETAIL")))</f>
        <v/>
      </c>
      <c r="T676" s="58" t="str">
        <f t="shared" si="97"/>
        <v/>
      </c>
      <c r="U676" s="59" t="str">
        <f>IF($T676="","",COUNTIF($T$6:$T676,"?*"))</f>
        <v/>
      </c>
      <c r="V676" s="58" t="str">
        <f t="shared" si="98"/>
        <v/>
      </c>
    </row>
    <row r="677" spans="1:22" ht="12.95" customHeight="1" x14ac:dyDescent="0.25">
      <c r="A677" s="60" t="str">
        <f t="shared" si="90"/>
        <v/>
      </c>
      <c r="B677" s="37"/>
      <c r="C677" s="28"/>
      <c r="D677" s="35"/>
      <c r="E677" s="38"/>
      <c r="F677" s="38"/>
      <c r="G677" s="60" t="str">
        <f t="shared" si="91"/>
        <v/>
      </c>
      <c r="H677" s="61" t="str">
        <f t="shared" si="92"/>
        <v/>
      </c>
      <c r="I677" s="40"/>
      <c r="J677" s="62" t="str">
        <f t="shared" si="93"/>
        <v/>
      </c>
      <c r="K677" s="45" t="str">
        <f t="shared" si="94"/>
        <v/>
      </c>
      <c r="L677" s="55"/>
      <c r="M677" s="63">
        <f t="shared" si="95"/>
        <v>0</v>
      </c>
      <c r="N677" s="63">
        <f t="shared" si="96"/>
        <v>0</v>
      </c>
      <c r="O677" s="57"/>
      <c r="P677" s="40"/>
      <c r="Q677" s="60" t="str">
        <f>IF($D677="","",IF($K677&lt;&gt;"Balance Sheet / Clearing","-",IF(SUMPRODUCT(--(LEFT('7. Settlements'!$J$8:$J$107,7)=$A677),--('7. Settlements'!$M$8:$M$107="Tied out"))+SUMPRODUCT(--(LEFT('8. Transfers'!$H$9:$H$108,7)=$A677),--('8. Transfers'!$J$9:$J$108="Matched"))+SUMPRODUCT(--(LEFT('8. Transfers'!$I$9:$I$108,7)=$A677),--('8. Transfers'!$J$9:$J$108="Matched"))+IF($O677="",0,COUNTIFS('9. Payroll Allocation'!$B$234:$B$253,$O677,'9. Payroll Allocation'!$H$234:$H$253,"Tied out"))&gt;0,"Linked","MISSING DETAIL")))</f>
        <v/>
      </c>
      <c r="T677" s="58" t="str">
        <f t="shared" si="97"/>
        <v/>
      </c>
      <c r="U677" s="59" t="str">
        <f>IF($T677="","",COUNTIF($T$6:$T677,"?*"))</f>
        <v/>
      </c>
      <c r="V677" s="58" t="str">
        <f t="shared" si="98"/>
        <v/>
      </c>
    </row>
    <row r="678" spans="1:22" ht="12.95" customHeight="1" x14ac:dyDescent="0.25">
      <c r="A678" s="52" t="str">
        <f t="shared" si="90"/>
        <v/>
      </c>
      <c r="B678" s="37"/>
      <c r="C678" s="28"/>
      <c r="D678" s="35"/>
      <c r="E678" s="38"/>
      <c r="F678" s="38"/>
      <c r="G678" s="52" t="str">
        <f t="shared" si="91"/>
        <v/>
      </c>
      <c r="H678" s="53" t="str">
        <f t="shared" si="92"/>
        <v/>
      </c>
      <c r="I678" s="40"/>
      <c r="J678" s="54" t="str">
        <f t="shared" si="93"/>
        <v/>
      </c>
      <c r="K678" s="41" t="str">
        <f t="shared" si="94"/>
        <v/>
      </c>
      <c r="L678" s="55"/>
      <c r="M678" s="56">
        <f t="shared" si="95"/>
        <v>0</v>
      </c>
      <c r="N678" s="56">
        <f t="shared" si="96"/>
        <v>0</v>
      </c>
      <c r="O678" s="57"/>
      <c r="P678" s="40"/>
      <c r="Q678" s="52" t="str">
        <f>IF($D678="","",IF($K678&lt;&gt;"Balance Sheet / Clearing","-",IF(SUMPRODUCT(--(LEFT('7. Settlements'!$J$8:$J$107,7)=$A678),--('7. Settlements'!$M$8:$M$107="Tied out"))+SUMPRODUCT(--(LEFT('8. Transfers'!$H$9:$H$108,7)=$A678),--('8. Transfers'!$J$9:$J$108="Matched"))+SUMPRODUCT(--(LEFT('8. Transfers'!$I$9:$I$108,7)=$A678),--('8. Transfers'!$J$9:$J$108="Matched"))+IF($O678="",0,COUNTIFS('9. Payroll Allocation'!$B$234:$B$253,$O678,'9. Payroll Allocation'!$H$234:$H$253,"Tied out"))&gt;0,"Linked","MISSING DETAIL")))</f>
        <v/>
      </c>
      <c r="T678" s="58" t="str">
        <f t="shared" si="97"/>
        <v/>
      </c>
      <c r="U678" s="59" t="str">
        <f>IF($T678="","",COUNTIF($T$6:$T678,"?*"))</f>
        <v/>
      </c>
      <c r="V678" s="58" t="str">
        <f t="shared" si="98"/>
        <v/>
      </c>
    </row>
    <row r="679" spans="1:22" ht="12.95" customHeight="1" x14ac:dyDescent="0.25">
      <c r="A679" s="60" t="str">
        <f t="shared" si="90"/>
        <v/>
      </c>
      <c r="B679" s="37"/>
      <c r="C679" s="28"/>
      <c r="D679" s="35"/>
      <c r="E679" s="38"/>
      <c r="F679" s="38"/>
      <c r="G679" s="60" t="str">
        <f t="shared" si="91"/>
        <v/>
      </c>
      <c r="H679" s="61" t="str">
        <f t="shared" si="92"/>
        <v/>
      </c>
      <c r="I679" s="40"/>
      <c r="J679" s="62" t="str">
        <f t="shared" si="93"/>
        <v/>
      </c>
      <c r="K679" s="45" t="str">
        <f t="shared" si="94"/>
        <v/>
      </c>
      <c r="L679" s="55"/>
      <c r="M679" s="63">
        <f t="shared" si="95"/>
        <v>0</v>
      </c>
      <c r="N679" s="63">
        <f t="shared" si="96"/>
        <v>0</v>
      </c>
      <c r="O679" s="57"/>
      <c r="P679" s="40"/>
      <c r="Q679" s="60" t="str">
        <f>IF($D679="","",IF($K679&lt;&gt;"Balance Sheet / Clearing","-",IF(SUMPRODUCT(--(LEFT('7. Settlements'!$J$8:$J$107,7)=$A679),--('7. Settlements'!$M$8:$M$107="Tied out"))+SUMPRODUCT(--(LEFT('8. Transfers'!$H$9:$H$108,7)=$A679),--('8. Transfers'!$J$9:$J$108="Matched"))+SUMPRODUCT(--(LEFT('8. Transfers'!$I$9:$I$108,7)=$A679),--('8. Transfers'!$J$9:$J$108="Matched"))+IF($O679="",0,COUNTIFS('9. Payroll Allocation'!$B$234:$B$253,$O679,'9. Payroll Allocation'!$H$234:$H$253,"Tied out"))&gt;0,"Linked","MISSING DETAIL")))</f>
        <v/>
      </c>
      <c r="T679" s="58" t="str">
        <f t="shared" si="97"/>
        <v/>
      </c>
      <c r="U679" s="59" t="str">
        <f>IF($T679="","",COUNTIF($T$6:$T679,"?*"))</f>
        <v/>
      </c>
      <c r="V679" s="58" t="str">
        <f t="shared" si="98"/>
        <v/>
      </c>
    </row>
    <row r="680" spans="1:22" ht="12.95" customHeight="1" x14ac:dyDescent="0.25">
      <c r="A680" s="52" t="str">
        <f t="shared" si="90"/>
        <v/>
      </c>
      <c r="B680" s="37"/>
      <c r="C680" s="28"/>
      <c r="D680" s="35"/>
      <c r="E680" s="38"/>
      <c r="F680" s="38"/>
      <c r="G680" s="52" t="str">
        <f t="shared" si="91"/>
        <v/>
      </c>
      <c r="H680" s="53" t="str">
        <f t="shared" si="92"/>
        <v/>
      </c>
      <c r="I680" s="40"/>
      <c r="J680" s="54" t="str">
        <f t="shared" si="93"/>
        <v/>
      </c>
      <c r="K680" s="41" t="str">
        <f t="shared" si="94"/>
        <v/>
      </c>
      <c r="L680" s="55"/>
      <c r="M680" s="56">
        <f t="shared" si="95"/>
        <v>0</v>
      </c>
      <c r="N680" s="56">
        <f t="shared" si="96"/>
        <v>0</v>
      </c>
      <c r="O680" s="57"/>
      <c r="P680" s="40"/>
      <c r="Q680" s="52" t="str">
        <f>IF($D680="","",IF($K680&lt;&gt;"Balance Sheet / Clearing","-",IF(SUMPRODUCT(--(LEFT('7. Settlements'!$J$8:$J$107,7)=$A680),--('7. Settlements'!$M$8:$M$107="Tied out"))+SUMPRODUCT(--(LEFT('8. Transfers'!$H$9:$H$108,7)=$A680),--('8. Transfers'!$J$9:$J$108="Matched"))+SUMPRODUCT(--(LEFT('8. Transfers'!$I$9:$I$108,7)=$A680),--('8. Transfers'!$J$9:$J$108="Matched"))+IF($O680="",0,COUNTIFS('9. Payroll Allocation'!$B$234:$B$253,$O680,'9. Payroll Allocation'!$H$234:$H$253,"Tied out"))&gt;0,"Linked","MISSING DETAIL")))</f>
        <v/>
      </c>
      <c r="T680" s="58" t="str">
        <f t="shared" si="97"/>
        <v/>
      </c>
      <c r="U680" s="59" t="str">
        <f>IF($T680="","",COUNTIF($T$6:$T680,"?*"))</f>
        <v/>
      </c>
      <c r="V680" s="58" t="str">
        <f t="shared" si="98"/>
        <v/>
      </c>
    </row>
    <row r="681" spans="1:22" ht="12.95" customHeight="1" x14ac:dyDescent="0.25">
      <c r="A681" s="60" t="str">
        <f t="shared" si="90"/>
        <v/>
      </c>
      <c r="B681" s="37"/>
      <c r="C681" s="28"/>
      <c r="D681" s="35"/>
      <c r="E681" s="38"/>
      <c r="F681" s="38"/>
      <c r="G681" s="60" t="str">
        <f t="shared" si="91"/>
        <v/>
      </c>
      <c r="H681" s="61" t="str">
        <f t="shared" si="92"/>
        <v/>
      </c>
      <c r="I681" s="40"/>
      <c r="J681" s="62" t="str">
        <f t="shared" si="93"/>
        <v/>
      </c>
      <c r="K681" s="45" t="str">
        <f t="shared" si="94"/>
        <v/>
      </c>
      <c r="L681" s="55"/>
      <c r="M681" s="63">
        <f t="shared" si="95"/>
        <v>0</v>
      </c>
      <c r="N681" s="63">
        <f t="shared" si="96"/>
        <v>0</v>
      </c>
      <c r="O681" s="57"/>
      <c r="P681" s="40"/>
      <c r="Q681" s="60" t="str">
        <f>IF($D681="","",IF($K681&lt;&gt;"Balance Sheet / Clearing","-",IF(SUMPRODUCT(--(LEFT('7. Settlements'!$J$8:$J$107,7)=$A681),--('7. Settlements'!$M$8:$M$107="Tied out"))+SUMPRODUCT(--(LEFT('8. Transfers'!$H$9:$H$108,7)=$A681),--('8. Transfers'!$J$9:$J$108="Matched"))+SUMPRODUCT(--(LEFT('8. Transfers'!$I$9:$I$108,7)=$A681),--('8. Transfers'!$J$9:$J$108="Matched"))+IF($O681="",0,COUNTIFS('9. Payroll Allocation'!$B$234:$B$253,$O681,'9. Payroll Allocation'!$H$234:$H$253,"Tied out"))&gt;0,"Linked","MISSING DETAIL")))</f>
        <v/>
      </c>
      <c r="T681" s="58" t="str">
        <f t="shared" si="97"/>
        <v/>
      </c>
      <c r="U681" s="59" t="str">
        <f>IF($T681="","",COUNTIF($T$6:$T681,"?*"))</f>
        <v/>
      </c>
      <c r="V681" s="58" t="str">
        <f t="shared" si="98"/>
        <v/>
      </c>
    </row>
    <row r="682" spans="1:22" ht="12.95" customHeight="1" x14ac:dyDescent="0.25">
      <c r="A682" s="52" t="str">
        <f t="shared" si="90"/>
        <v/>
      </c>
      <c r="B682" s="37"/>
      <c r="C682" s="28"/>
      <c r="D682" s="35"/>
      <c r="E682" s="38"/>
      <c r="F682" s="38"/>
      <c r="G682" s="52" t="str">
        <f t="shared" si="91"/>
        <v/>
      </c>
      <c r="H682" s="53" t="str">
        <f t="shared" si="92"/>
        <v/>
      </c>
      <c r="I682" s="40"/>
      <c r="J682" s="54" t="str">
        <f t="shared" si="93"/>
        <v/>
      </c>
      <c r="K682" s="41" t="str">
        <f t="shared" si="94"/>
        <v/>
      </c>
      <c r="L682" s="55"/>
      <c r="M682" s="56">
        <f t="shared" si="95"/>
        <v>0</v>
      </c>
      <c r="N682" s="56">
        <f t="shared" si="96"/>
        <v>0</v>
      </c>
      <c r="O682" s="57"/>
      <c r="P682" s="40"/>
      <c r="Q682" s="52" t="str">
        <f>IF($D682="","",IF($K682&lt;&gt;"Balance Sheet / Clearing","-",IF(SUMPRODUCT(--(LEFT('7. Settlements'!$J$8:$J$107,7)=$A682),--('7. Settlements'!$M$8:$M$107="Tied out"))+SUMPRODUCT(--(LEFT('8. Transfers'!$H$9:$H$108,7)=$A682),--('8. Transfers'!$J$9:$J$108="Matched"))+SUMPRODUCT(--(LEFT('8. Transfers'!$I$9:$I$108,7)=$A682),--('8. Transfers'!$J$9:$J$108="Matched"))+IF($O682="",0,COUNTIFS('9. Payroll Allocation'!$B$234:$B$253,$O682,'9. Payroll Allocation'!$H$234:$H$253,"Tied out"))&gt;0,"Linked","MISSING DETAIL")))</f>
        <v/>
      </c>
      <c r="T682" s="58" t="str">
        <f t="shared" si="97"/>
        <v/>
      </c>
      <c r="U682" s="59" t="str">
        <f>IF($T682="","",COUNTIF($T$6:$T682,"?*"))</f>
        <v/>
      </c>
      <c r="V682" s="58" t="str">
        <f t="shared" si="98"/>
        <v/>
      </c>
    </row>
    <row r="683" spans="1:22" ht="12.95" customHeight="1" x14ac:dyDescent="0.25">
      <c r="A683" s="60" t="str">
        <f t="shared" si="90"/>
        <v/>
      </c>
      <c r="B683" s="37"/>
      <c r="C683" s="28"/>
      <c r="D683" s="35"/>
      <c r="E683" s="38"/>
      <c r="F683" s="38"/>
      <c r="G683" s="60" t="str">
        <f t="shared" si="91"/>
        <v/>
      </c>
      <c r="H683" s="61" t="str">
        <f t="shared" si="92"/>
        <v/>
      </c>
      <c r="I683" s="40"/>
      <c r="J683" s="62" t="str">
        <f t="shared" si="93"/>
        <v/>
      </c>
      <c r="K683" s="45" t="str">
        <f t="shared" si="94"/>
        <v/>
      </c>
      <c r="L683" s="55"/>
      <c r="M683" s="63">
        <f t="shared" si="95"/>
        <v>0</v>
      </c>
      <c r="N683" s="63">
        <f t="shared" si="96"/>
        <v>0</v>
      </c>
      <c r="O683" s="57"/>
      <c r="P683" s="40"/>
      <c r="Q683" s="60" t="str">
        <f>IF($D683="","",IF($K683&lt;&gt;"Balance Sheet / Clearing","-",IF(SUMPRODUCT(--(LEFT('7. Settlements'!$J$8:$J$107,7)=$A683),--('7. Settlements'!$M$8:$M$107="Tied out"))+SUMPRODUCT(--(LEFT('8. Transfers'!$H$9:$H$108,7)=$A683),--('8. Transfers'!$J$9:$J$108="Matched"))+SUMPRODUCT(--(LEFT('8. Transfers'!$I$9:$I$108,7)=$A683),--('8. Transfers'!$J$9:$J$108="Matched"))+IF($O683="",0,COUNTIFS('9. Payroll Allocation'!$B$234:$B$253,$O683,'9. Payroll Allocation'!$H$234:$H$253,"Tied out"))&gt;0,"Linked","MISSING DETAIL")))</f>
        <v/>
      </c>
      <c r="T683" s="58" t="str">
        <f t="shared" si="97"/>
        <v/>
      </c>
      <c r="U683" s="59" t="str">
        <f>IF($T683="","",COUNTIF($T$6:$T683,"?*"))</f>
        <v/>
      </c>
      <c r="V683" s="58" t="str">
        <f t="shared" si="98"/>
        <v/>
      </c>
    </row>
    <row r="684" spans="1:22" ht="12.95" customHeight="1" x14ac:dyDescent="0.25">
      <c r="A684" s="52" t="str">
        <f t="shared" si="90"/>
        <v/>
      </c>
      <c r="B684" s="37"/>
      <c r="C684" s="28"/>
      <c r="D684" s="35"/>
      <c r="E684" s="38"/>
      <c r="F684" s="38"/>
      <c r="G684" s="52" t="str">
        <f t="shared" si="91"/>
        <v/>
      </c>
      <c r="H684" s="53" t="str">
        <f t="shared" si="92"/>
        <v/>
      </c>
      <c r="I684" s="40"/>
      <c r="J684" s="54" t="str">
        <f t="shared" si="93"/>
        <v/>
      </c>
      <c r="K684" s="41" t="str">
        <f t="shared" si="94"/>
        <v/>
      </c>
      <c r="L684" s="55"/>
      <c r="M684" s="56">
        <f t="shared" si="95"/>
        <v>0</v>
      </c>
      <c r="N684" s="56">
        <f t="shared" si="96"/>
        <v>0</v>
      </c>
      <c r="O684" s="57"/>
      <c r="P684" s="40"/>
      <c r="Q684" s="52" t="str">
        <f>IF($D684="","",IF($K684&lt;&gt;"Balance Sheet / Clearing","-",IF(SUMPRODUCT(--(LEFT('7. Settlements'!$J$8:$J$107,7)=$A684),--('7. Settlements'!$M$8:$M$107="Tied out"))+SUMPRODUCT(--(LEFT('8. Transfers'!$H$9:$H$108,7)=$A684),--('8. Transfers'!$J$9:$J$108="Matched"))+SUMPRODUCT(--(LEFT('8. Transfers'!$I$9:$I$108,7)=$A684),--('8. Transfers'!$J$9:$J$108="Matched"))+IF($O684="",0,COUNTIFS('9. Payroll Allocation'!$B$234:$B$253,$O684,'9. Payroll Allocation'!$H$234:$H$253,"Tied out"))&gt;0,"Linked","MISSING DETAIL")))</f>
        <v/>
      </c>
      <c r="T684" s="58" t="str">
        <f t="shared" si="97"/>
        <v/>
      </c>
      <c r="U684" s="59" t="str">
        <f>IF($T684="","",COUNTIF($T$6:$T684,"?*"))</f>
        <v/>
      </c>
      <c r="V684" s="58" t="str">
        <f t="shared" si="98"/>
        <v/>
      </c>
    </row>
    <row r="685" spans="1:22" ht="12.95" customHeight="1" x14ac:dyDescent="0.25">
      <c r="A685" s="60" t="str">
        <f t="shared" si="90"/>
        <v/>
      </c>
      <c r="B685" s="37"/>
      <c r="C685" s="28"/>
      <c r="D685" s="35"/>
      <c r="E685" s="38"/>
      <c r="F685" s="38"/>
      <c r="G685" s="60" t="str">
        <f t="shared" si="91"/>
        <v/>
      </c>
      <c r="H685" s="61" t="str">
        <f t="shared" si="92"/>
        <v/>
      </c>
      <c r="I685" s="40"/>
      <c r="J685" s="62" t="str">
        <f t="shared" si="93"/>
        <v/>
      </c>
      <c r="K685" s="45" t="str">
        <f t="shared" si="94"/>
        <v/>
      </c>
      <c r="L685" s="55"/>
      <c r="M685" s="63">
        <f t="shared" si="95"/>
        <v>0</v>
      </c>
      <c r="N685" s="63">
        <f t="shared" si="96"/>
        <v>0</v>
      </c>
      <c r="O685" s="57"/>
      <c r="P685" s="40"/>
      <c r="Q685" s="60" t="str">
        <f>IF($D685="","",IF($K685&lt;&gt;"Balance Sheet / Clearing","-",IF(SUMPRODUCT(--(LEFT('7. Settlements'!$J$8:$J$107,7)=$A685),--('7. Settlements'!$M$8:$M$107="Tied out"))+SUMPRODUCT(--(LEFT('8. Transfers'!$H$9:$H$108,7)=$A685),--('8. Transfers'!$J$9:$J$108="Matched"))+SUMPRODUCT(--(LEFT('8. Transfers'!$I$9:$I$108,7)=$A685),--('8. Transfers'!$J$9:$J$108="Matched"))+IF($O685="",0,COUNTIFS('9. Payroll Allocation'!$B$234:$B$253,$O685,'9. Payroll Allocation'!$H$234:$H$253,"Tied out"))&gt;0,"Linked","MISSING DETAIL")))</f>
        <v/>
      </c>
      <c r="T685" s="58" t="str">
        <f t="shared" si="97"/>
        <v/>
      </c>
      <c r="U685" s="59" t="str">
        <f>IF($T685="","",COUNTIF($T$6:$T685,"?*"))</f>
        <v/>
      </c>
      <c r="V685" s="58" t="str">
        <f t="shared" si="98"/>
        <v/>
      </c>
    </row>
    <row r="686" spans="1:22" ht="12.95" customHeight="1" x14ac:dyDescent="0.25">
      <c r="A686" s="52" t="str">
        <f t="shared" si="90"/>
        <v/>
      </c>
      <c r="B686" s="37"/>
      <c r="C686" s="28"/>
      <c r="D686" s="35"/>
      <c r="E686" s="38"/>
      <c r="F686" s="38"/>
      <c r="G686" s="52" t="str">
        <f t="shared" si="91"/>
        <v/>
      </c>
      <c r="H686" s="53" t="str">
        <f t="shared" si="92"/>
        <v/>
      </c>
      <c r="I686" s="40"/>
      <c r="J686" s="54" t="str">
        <f t="shared" si="93"/>
        <v/>
      </c>
      <c r="K686" s="41" t="str">
        <f t="shared" si="94"/>
        <v/>
      </c>
      <c r="L686" s="55"/>
      <c r="M686" s="56">
        <f t="shared" si="95"/>
        <v>0</v>
      </c>
      <c r="N686" s="56">
        <f t="shared" si="96"/>
        <v>0</v>
      </c>
      <c r="O686" s="57"/>
      <c r="P686" s="40"/>
      <c r="Q686" s="52" t="str">
        <f>IF($D686="","",IF($K686&lt;&gt;"Balance Sheet / Clearing","-",IF(SUMPRODUCT(--(LEFT('7. Settlements'!$J$8:$J$107,7)=$A686),--('7. Settlements'!$M$8:$M$107="Tied out"))+SUMPRODUCT(--(LEFT('8. Transfers'!$H$9:$H$108,7)=$A686),--('8. Transfers'!$J$9:$J$108="Matched"))+SUMPRODUCT(--(LEFT('8. Transfers'!$I$9:$I$108,7)=$A686),--('8. Transfers'!$J$9:$J$108="Matched"))+IF($O686="",0,COUNTIFS('9. Payroll Allocation'!$B$234:$B$253,$O686,'9. Payroll Allocation'!$H$234:$H$253,"Tied out"))&gt;0,"Linked","MISSING DETAIL")))</f>
        <v/>
      </c>
      <c r="T686" s="58" t="str">
        <f t="shared" si="97"/>
        <v/>
      </c>
      <c r="U686" s="59" t="str">
        <f>IF($T686="","",COUNTIF($T$6:$T686,"?*"))</f>
        <v/>
      </c>
      <c r="V686" s="58" t="str">
        <f t="shared" si="98"/>
        <v/>
      </c>
    </row>
    <row r="687" spans="1:22" ht="12.95" customHeight="1" x14ac:dyDescent="0.25">
      <c r="A687" s="60" t="str">
        <f t="shared" si="90"/>
        <v/>
      </c>
      <c r="B687" s="37"/>
      <c r="C687" s="28"/>
      <c r="D687" s="35"/>
      <c r="E687" s="38"/>
      <c r="F687" s="38"/>
      <c r="G687" s="60" t="str">
        <f t="shared" si="91"/>
        <v/>
      </c>
      <c r="H687" s="61" t="str">
        <f t="shared" si="92"/>
        <v/>
      </c>
      <c r="I687" s="40"/>
      <c r="J687" s="62" t="str">
        <f t="shared" si="93"/>
        <v/>
      </c>
      <c r="K687" s="45" t="str">
        <f t="shared" si="94"/>
        <v/>
      </c>
      <c r="L687" s="55"/>
      <c r="M687" s="63">
        <f t="shared" si="95"/>
        <v>0</v>
      </c>
      <c r="N687" s="63">
        <f t="shared" si="96"/>
        <v>0</v>
      </c>
      <c r="O687" s="57"/>
      <c r="P687" s="40"/>
      <c r="Q687" s="60" t="str">
        <f>IF($D687="","",IF($K687&lt;&gt;"Balance Sheet / Clearing","-",IF(SUMPRODUCT(--(LEFT('7. Settlements'!$J$8:$J$107,7)=$A687),--('7. Settlements'!$M$8:$M$107="Tied out"))+SUMPRODUCT(--(LEFT('8. Transfers'!$H$9:$H$108,7)=$A687),--('8. Transfers'!$J$9:$J$108="Matched"))+SUMPRODUCT(--(LEFT('8. Transfers'!$I$9:$I$108,7)=$A687),--('8. Transfers'!$J$9:$J$108="Matched"))+IF($O687="",0,COUNTIFS('9. Payroll Allocation'!$B$234:$B$253,$O687,'9. Payroll Allocation'!$H$234:$H$253,"Tied out"))&gt;0,"Linked","MISSING DETAIL")))</f>
        <v/>
      </c>
      <c r="T687" s="58" t="str">
        <f t="shared" si="97"/>
        <v/>
      </c>
      <c r="U687" s="59" t="str">
        <f>IF($T687="","",COUNTIF($T$6:$T687,"?*"))</f>
        <v/>
      </c>
      <c r="V687" s="58" t="str">
        <f t="shared" si="98"/>
        <v/>
      </c>
    </row>
    <row r="688" spans="1:22" ht="12.95" customHeight="1" x14ac:dyDescent="0.25">
      <c r="A688" s="52" t="str">
        <f t="shared" si="90"/>
        <v/>
      </c>
      <c r="B688" s="37"/>
      <c r="C688" s="28"/>
      <c r="D688" s="35"/>
      <c r="E688" s="38"/>
      <c r="F688" s="38"/>
      <c r="G688" s="52" t="str">
        <f t="shared" si="91"/>
        <v/>
      </c>
      <c r="H688" s="53" t="str">
        <f t="shared" si="92"/>
        <v/>
      </c>
      <c r="I688" s="40"/>
      <c r="J688" s="54" t="str">
        <f t="shared" si="93"/>
        <v/>
      </c>
      <c r="K688" s="41" t="str">
        <f t="shared" si="94"/>
        <v/>
      </c>
      <c r="L688" s="55"/>
      <c r="M688" s="56">
        <f t="shared" si="95"/>
        <v>0</v>
      </c>
      <c r="N688" s="56">
        <f t="shared" si="96"/>
        <v>0</v>
      </c>
      <c r="O688" s="57"/>
      <c r="P688" s="40"/>
      <c r="Q688" s="52" t="str">
        <f>IF($D688="","",IF($K688&lt;&gt;"Balance Sheet / Clearing","-",IF(SUMPRODUCT(--(LEFT('7. Settlements'!$J$8:$J$107,7)=$A688),--('7. Settlements'!$M$8:$M$107="Tied out"))+SUMPRODUCT(--(LEFT('8. Transfers'!$H$9:$H$108,7)=$A688),--('8. Transfers'!$J$9:$J$108="Matched"))+SUMPRODUCT(--(LEFT('8. Transfers'!$I$9:$I$108,7)=$A688),--('8. Transfers'!$J$9:$J$108="Matched"))+IF($O688="",0,COUNTIFS('9. Payroll Allocation'!$B$234:$B$253,$O688,'9. Payroll Allocation'!$H$234:$H$253,"Tied out"))&gt;0,"Linked","MISSING DETAIL")))</f>
        <v/>
      </c>
      <c r="T688" s="58" t="str">
        <f t="shared" si="97"/>
        <v/>
      </c>
      <c r="U688" s="59" t="str">
        <f>IF($T688="","",COUNTIF($T$6:$T688,"?*"))</f>
        <v/>
      </c>
      <c r="V688" s="58" t="str">
        <f t="shared" si="98"/>
        <v/>
      </c>
    </row>
    <row r="689" spans="1:22" ht="12.95" customHeight="1" x14ac:dyDescent="0.25">
      <c r="A689" s="60" t="str">
        <f t="shared" si="90"/>
        <v/>
      </c>
      <c r="B689" s="37"/>
      <c r="C689" s="28"/>
      <c r="D689" s="35"/>
      <c r="E689" s="38"/>
      <c r="F689" s="38"/>
      <c r="G689" s="60" t="str">
        <f t="shared" si="91"/>
        <v/>
      </c>
      <c r="H689" s="61" t="str">
        <f t="shared" si="92"/>
        <v/>
      </c>
      <c r="I689" s="40"/>
      <c r="J689" s="62" t="str">
        <f t="shared" si="93"/>
        <v/>
      </c>
      <c r="K689" s="45" t="str">
        <f t="shared" si="94"/>
        <v/>
      </c>
      <c r="L689" s="55"/>
      <c r="M689" s="63">
        <f t="shared" si="95"/>
        <v>0</v>
      </c>
      <c r="N689" s="63">
        <f t="shared" si="96"/>
        <v>0</v>
      </c>
      <c r="O689" s="57"/>
      <c r="P689" s="40"/>
      <c r="Q689" s="60" t="str">
        <f>IF($D689="","",IF($K689&lt;&gt;"Balance Sheet / Clearing","-",IF(SUMPRODUCT(--(LEFT('7. Settlements'!$J$8:$J$107,7)=$A689),--('7. Settlements'!$M$8:$M$107="Tied out"))+SUMPRODUCT(--(LEFT('8. Transfers'!$H$9:$H$108,7)=$A689),--('8. Transfers'!$J$9:$J$108="Matched"))+SUMPRODUCT(--(LEFT('8. Transfers'!$I$9:$I$108,7)=$A689),--('8. Transfers'!$J$9:$J$108="Matched"))+IF($O689="",0,COUNTIFS('9. Payroll Allocation'!$B$234:$B$253,$O689,'9. Payroll Allocation'!$H$234:$H$253,"Tied out"))&gt;0,"Linked","MISSING DETAIL")))</f>
        <v/>
      </c>
      <c r="T689" s="58" t="str">
        <f t="shared" si="97"/>
        <v/>
      </c>
      <c r="U689" s="59" t="str">
        <f>IF($T689="","",COUNTIF($T$6:$T689,"?*"))</f>
        <v/>
      </c>
      <c r="V689" s="58" t="str">
        <f t="shared" si="98"/>
        <v/>
      </c>
    </row>
    <row r="690" spans="1:22" ht="12.95" customHeight="1" x14ac:dyDescent="0.25">
      <c r="A690" s="52" t="str">
        <f t="shared" si="90"/>
        <v/>
      </c>
      <c r="B690" s="37"/>
      <c r="C690" s="28"/>
      <c r="D690" s="35"/>
      <c r="E690" s="38"/>
      <c r="F690" s="38"/>
      <c r="G690" s="52" t="str">
        <f t="shared" si="91"/>
        <v/>
      </c>
      <c r="H690" s="53" t="str">
        <f t="shared" si="92"/>
        <v/>
      </c>
      <c r="I690" s="40"/>
      <c r="J690" s="54" t="str">
        <f t="shared" si="93"/>
        <v/>
      </c>
      <c r="K690" s="41" t="str">
        <f t="shared" si="94"/>
        <v/>
      </c>
      <c r="L690" s="55"/>
      <c r="M690" s="56">
        <f t="shared" si="95"/>
        <v>0</v>
      </c>
      <c r="N690" s="56">
        <f t="shared" si="96"/>
        <v>0</v>
      </c>
      <c r="O690" s="57"/>
      <c r="P690" s="40"/>
      <c r="Q690" s="52" t="str">
        <f>IF($D690="","",IF($K690&lt;&gt;"Balance Sheet / Clearing","-",IF(SUMPRODUCT(--(LEFT('7. Settlements'!$J$8:$J$107,7)=$A690),--('7. Settlements'!$M$8:$M$107="Tied out"))+SUMPRODUCT(--(LEFT('8. Transfers'!$H$9:$H$108,7)=$A690),--('8. Transfers'!$J$9:$J$108="Matched"))+SUMPRODUCT(--(LEFT('8. Transfers'!$I$9:$I$108,7)=$A690),--('8. Transfers'!$J$9:$J$108="Matched"))+IF($O690="",0,COUNTIFS('9. Payroll Allocation'!$B$234:$B$253,$O690,'9. Payroll Allocation'!$H$234:$H$253,"Tied out"))&gt;0,"Linked","MISSING DETAIL")))</f>
        <v/>
      </c>
      <c r="T690" s="58" t="str">
        <f t="shared" si="97"/>
        <v/>
      </c>
      <c r="U690" s="59" t="str">
        <f>IF($T690="","",COUNTIF($T$6:$T690,"?*"))</f>
        <v/>
      </c>
      <c r="V690" s="58" t="str">
        <f t="shared" si="98"/>
        <v/>
      </c>
    </row>
    <row r="691" spans="1:22" ht="12.95" customHeight="1" x14ac:dyDescent="0.25">
      <c r="A691" s="60" t="str">
        <f t="shared" si="90"/>
        <v/>
      </c>
      <c r="B691" s="37"/>
      <c r="C691" s="28"/>
      <c r="D691" s="35"/>
      <c r="E691" s="38"/>
      <c r="F691" s="38"/>
      <c r="G691" s="60" t="str">
        <f t="shared" si="91"/>
        <v/>
      </c>
      <c r="H691" s="61" t="str">
        <f t="shared" si="92"/>
        <v/>
      </c>
      <c r="I691" s="40"/>
      <c r="J691" s="62" t="str">
        <f t="shared" si="93"/>
        <v/>
      </c>
      <c r="K691" s="45" t="str">
        <f t="shared" si="94"/>
        <v/>
      </c>
      <c r="L691" s="55"/>
      <c r="M691" s="63">
        <f t="shared" si="95"/>
        <v>0</v>
      </c>
      <c r="N691" s="63">
        <f t="shared" si="96"/>
        <v>0</v>
      </c>
      <c r="O691" s="57"/>
      <c r="P691" s="40"/>
      <c r="Q691" s="60" t="str">
        <f>IF($D691="","",IF($K691&lt;&gt;"Balance Sheet / Clearing","-",IF(SUMPRODUCT(--(LEFT('7. Settlements'!$J$8:$J$107,7)=$A691),--('7. Settlements'!$M$8:$M$107="Tied out"))+SUMPRODUCT(--(LEFT('8. Transfers'!$H$9:$H$108,7)=$A691),--('8. Transfers'!$J$9:$J$108="Matched"))+SUMPRODUCT(--(LEFT('8. Transfers'!$I$9:$I$108,7)=$A691),--('8. Transfers'!$J$9:$J$108="Matched"))+IF($O691="",0,COUNTIFS('9. Payroll Allocation'!$B$234:$B$253,$O691,'9. Payroll Allocation'!$H$234:$H$253,"Tied out"))&gt;0,"Linked","MISSING DETAIL")))</f>
        <v/>
      </c>
      <c r="T691" s="58" t="str">
        <f t="shared" si="97"/>
        <v/>
      </c>
      <c r="U691" s="59" t="str">
        <f>IF($T691="","",COUNTIF($T$6:$T691,"?*"))</f>
        <v/>
      </c>
      <c r="V691" s="58" t="str">
        <f t="shared" si="98"/>
        <v/>
      </c>
    </row>
    <row r="692" spans="1:22" ht="12.95" customHeight="1" x14ac:dyDescent="0.25">
      <c r="A692" s="52" t="str">
        <f t="shared" si="90"/>
        <v/>
      </c>
      <c r="B692" s="37"/>
      <c r="C692" s="28"/>
      <c r="D692" s="35"/>
      <c r="E692" s="38"/>
      <c r="F692" s="38"/>
      <c r="G692" s="52" t="str">
        <f t="shared" si="91"/>
        <v/>
      </c>
      <c r="H692" s="53" t="str">
        <f t="shared" si="92"/>
        <v/>
      </c>
      <c r="I692" s="40"/>
      <c r="J692" s="54" t="str">
        <f t="shared" si="93"/>
        <v/>
      </c>
      <c r="K692" s="41" t="str">
        <f t="shared" si="94"/>
        <v/>
      </c>
      <c r="L692" s="55"/>
      <c r="M692" s="56">
        <f t="shared" si="95"/>
        <v>0</v>
      </c>
      <c r="N692" s="56">
        <f t="shared" si="96"/>
        <v>0</v>
      </c>
      <c r="O692" s="57"/>
      <c r="P692" s="40"/>
      <c r="Q692" s="52" t="str">
        <f>IF($D692="","",IF($K692&lt;&gt;"Balance Sheet / Clearing","-",IF(SUMPRODUCT(--(LEFT('7. Settlements'!$J$8:$J$107,7)=$A692),--('7. Settlements'!$M$8:$M$107="Tied out"))+SUMPRODUCT(--(LEFT('8. Transfers'!$H$9:$H$108,7)=$A692),--('8. Transfers'!$J$9:$J$108="Matched"))+SUMPRODUCT(--(LEFT('8. Transfers'!$I$9:$I$108,7)=$A692),--('8. Transfers'!$J$9:$J$108="Matched"))+IF($O692="",0,COUNTIFS('9. Payroll Allocation'!$B$234:$B$253,$O692,'9. Payroll Allocation'!$H$234:$H$253,"Tied out"))&gt;0,"Linked","MISSING DETAIL")))</f>
        <v/>
      </c>
      <c r="T692" s="58" t="str">
        <f t="shared" si="97"/>
        <v/>
      </c>
      <c r="U692" s="59" t="str">
        <f>IF($T692="","",COUNTIF($T$6:$T692,"?*"))</f>
        <v/>
      </c>
      <c r="V692" s="58" t="str">
        <f t="shared" si="98"/>
        <v/>
      </c>
    </row>
    <row r="693" spans="1:22" ht="12.95" customHeight="1" x14ac:dyDescent="0.25">
      <c r="A693" s="60" t="str">
        <f t="shared" si="90"/>
        <v/>
      </c>
      <c r="B693" s="37"/>
      <c r="C693" s="28"/>
      <c r="D693" s="35"/>
      <c r="E693" s="38"/>
      <c r="F693" s="38"/>
      <c r="G693" s="60" t="str">
        <f t="shared" si="91"/>
        <v/>
      </c>
      <c r="H693" s="61" t="str">
        <f t="shared" si="92"/>
        <v/>
      </c>
      <c r="I693" s="40"/>
      <c r="J693" s="62" t="str">
        <f t="shared" si="93"/>
        <v/>
      </c>
      <c r="K693" s="45" t="str">
        <f t="shared" si="94"/>
        <v/>
      </c>
      <c r="L693" s="55"/>
      <c r="M693" s="63">
        <f t="shared" si="95"/>
        <v>0</v>
      </c>
      <c r="N693" s="63">
        <f t="shared" si="96"/>
        <v>0</v>
      </c>
      <c r="O693" s="57"/>
      <c r="P693" s="40"/>
      <c r="Q693" s="60" t="str">
        <f>IF($D693="","",IF($K693&lt;&gt;"Balance Sheet / Clearing","-",IF(SUMPRODUCT(--(LEFT('7. Settlements'!$J$8:$J$107,7)=$A693),--('7. Settlements'!$M$8:$M$107="Tied out"))+SUMPRODUCT(--(LEFT('8. Transfers'!$H$9:$H$108,7)=$A693),--('8. Transfers'!$J$9:$J$108="Matched"))+SUMPRODUCT(--(LEFT('8. Transfers'!$I$9:$I$108,7)=$A693),--('8. Transfers'!$J$9:$J$108="Matched"))+IF($O693="",0,COUNTIFS('9. Payroll Allocation'!$B$234:$B$253,$O693,'9. Payroll Allocation'!$H$234:$H$253,"Tied out"))&gt;0,"Linked","MISSING DETAIL")))</f>
        <v/>
      </c>
      <c r="T693" s="58" t="str">
        <f t="shared" si="97"/>
        <v/>
      </c>
      <c r="U693" s="59" t="str">
        <f>IF($T693="","",COUNTIF($T$6:$T693,"?*"))</f>
        <v/>
      </c>
      <c r="V693" s="58" t="str">
        <f t="shared" si="98"/>
        <v/>
      </c>
    </row>
    <row r="694" spans="1:22" ht="12.95" customHeight="1" x14ac:dyDescent="0.25">
      <c r="A694" s="52" t="str">
        <f t="shared" si="90"/>
        <v/>
      </c>
      <c r="B694" s="37"/>
      <c r="C694" s="28"/>
      <c r="D694" s="35"/>
      <c r="E694" s="38"/>
      <c r="F694" s="38"/>
      <c r="G694" s="52" t="str">
        <f t="shared" si="91"/>
        <v/>
      </c>
      <c r="H694" s="53" t="str">
        <f t="shared" si="92"/>
        <v/>
      </c>
      <c r="I694" s="40"/>
      <c r="J694" s="54" t="str">
        <f t="shared" si="93"/>
        <v/>
      </c>
      <c r="K694" s="41" t="str">
        <f t="shared" si="94"/>
        <v/>
      </c>
      <c r="L694" s="55"/>
      <c r="M694" s="56">
        <f t="shared" si="95"/>
        <v>0</v>
      </c>
      <c r="N694" s="56">
        <f t="shared" si="96"/>
        <v>0</v>
      </c>
      <c r="O694" s="57"/>
      <c r="P694" s="40"/>
      <c r="Q694" s="52" t="str">
        <f>IF($D694="","",IF($K694&lt;&gt;"Balance Sheet / Clearing","-",IF(SUMPRODUCT(--(LEFT('7. Settlements'!$J$8:$J$107,7)=$A694),--('7. Settlements'!$M$8:$M$107="Tied out"))+SUMPRODUCT(--(LEFT('8. Transfers'!$H$9:$H$108,7)=$A694),--('8. Transfers'!$J$9:$J$108="Matched"))+SUMPRODUCT(--(LEFT('8. Transfers'!$I$9:$I$108,7)=$A694),--('8. Transfers'!$J$9:$J$108="Matched"))+IF($O694="",0,COUNTIFS('9. Payroll Allocation'!$B$234:$B$253,$O694,'9. Payroll Allocation'!$H$234:$H$253,"Tied out"))&gt;0,"Linked","MISSING DETAIL")))</f>
        <v/>
      </c>
      <c r="T694" s="58" t="str">
        <f t="shared" si="97"/>
        <v/>
      </c>
      <c r="U694" s="59" t="str">
        <f>IF($T694="","",COUNTIF($T$6:$T694,"?*"))</f>
        <v/>
      </c>
      <c r="V694" s="58" t="str">
        <f t="shared" si="98"/>
        <v/>
      </c>
    </row>
    <row r="695" spans="1:22" ht="12.95" customHeight="1" x14ac:dyDescent="0.25">
      <c r="A695" s="60" t="str">
        <f t="shared" si="90"/>
        <v/>
      </c>
      <c r="B695" s="37"/>
      <c r="C695" s="28"/>
      <c r="D695" s="35"/>
      <c r="E695" s="38"/>
      <c r="F695" s="38"/>
      <c r="G695" s="60" t="str">
        <f t="shared" si="91"/>
        <v/>
      </c>
      <c r="H695" s="61" t="str">
        <f t="shared" si="92"/>
        <v/>
      </c>
      <c r="I695" s="40"/>
      <c r="J695" s="62" t="str">
        <f t="shared" si="93"/>
        <v/>
      </c>
      <c r="K695" s="45" t="str">
        <f t="shared" si="94"/>
        <v/>
      </c>
      <c r="L695" s="55"/>
      <c r="M695" s="63">
        <f t="shared" si="95"/>
        <v>0</v>
      </c>
      <c r="N695" s="63">
        <f t="shared" si="96"/>
        <v>0</v>
      </c>
      <c r="O695" s="57"/>
      <c r="P695" s="40"/>
      <c r="Q695" s="60" t="str">
        <f>IF($D695="","",IF($K695&lt;&gt;"Balance Sheet / Clearing","-",IF(SUMPRODUCT(--(LEFT('7. Settlements'!$J$8:$J$107,7)=$A695),--('7. Settlements'!$M$8:$M$107="Tied out"))+SUMPRODUCT(--(LEFT('8. Transfers'!$H$9:$H$108,7)=$A695),--('8. Transfers'!$J$9:$J$108="Matched"))+SUMPRODUCT(--(LEFT('8. Transfers'!$I$9:$I$108,7)=$A695),--('8. Transfers'!$J$9:$J$108="Matched"))+IF($O695="",0,COUNTIFS('9. Payroll Allocation'!$B$234:$B$253,$O695,'9. Payroll Allocation'!$H$234:$H$253,"Tied out"))&gt;0,"Linked","MISSING DETAIL")))</f>
        <v/>
      </c>
      <c r="T695" s="58" t="str">
        <f t="shared" si="97"/>
        <v/>
      </c>
      <c r="U695" s="59" t="str">
        <f>IF($T695="","",COUNTIF($T$6:$T695,"?*"))</f>
        <v/>
      </c>
      <c r="V695" s="58" t="str">
        <f t="shared" si="98"/>
        <v/>
      </c>
    </row>
    <row r="696" spans="1:22" ht="12.95" customHeight="1" x14ac:dyDescent="0.25">
      <c r="A696" s="52" t="str">
        <f t="shared" si="90"/>
        <v/>
      </c>
      <c r="B696" s="37"/>
      <c r="C696" s="28"/>
      <c r="D696" s="35"/>
      <c r="E696" s="38"/>
      <c r="F696" s="38"/>
      <c r="G696" s="52" t="str">
        <f t="shared" si="91"/>
        <v/>
      </c>
      <c r="H696" s="53" t="str">
        <f t="shared" si="92"/>
        <v/>
      </c>
      <c r="I696" s="40"/>
      <c r="J696" s="54" t="str">
        <f t="shared" si="93"/>
        <v/>
      </c>
      <c r="K696" s="41" t="str">
        <f t="shared" si="94"/>
        <v/>
      </c>
      <c r="L696" s="55"/>
      <c r="M696" s="56">
        <f t="shared" si="95"/>
        <v>0</v>
      </c>
      <c r="N696" s="56">
        <f t="shared" si="96"/>
        <v>0</v>
      </c>
      <c r="O696" s="57"/>
      <c r="P696" s="40"/>
      <c r="Q696" s="52" t="str">
        <f>IF($D696="","",IF($K696&lt;&gt;"Balance Sheet / Clearing","-",IF(SUMPRODUCT(--(LEFT('7. Settlements'!$J$8:$J$107,7)=$A696),--('7. Settlements'!$M$8:$M$107="Tied out"))+SUMPRODUCT(--(LEFT('8. Transfers'!$H$9:$H$108,7)=$A696),--('8. Transfers'!$J$9:$J$108="Matched"))+SUMPRODUCT(--(LEFT('8. Transfers'!$I$9:$I$108,7)=$A696),--('8. Transfers'!$J$9:$J$108="Matched"))+IF($O696="",0,COUNTIFS('9. Payroll Allocation'!$B$234:$B$253,$O696,'9. Payroll Allocation'!$H$234:$H$253,"Tied out"))&gt;0,"Linked","MISSING DETAIL")))</f>
        <v/>
      </c>
      <c r="T696" s="58" t="str">
        <f t="shared" si="97"/>
        <v/>
      </c>
      <c r="U696" s="59" t="str">
        <f>IF($T696="","",COUNTIF($T$6:$T696,"?*"))</f>
        <v/>
      </c>
      <c r="V696" s="58" t="str">
        <f t="shared" si="98"/>
        <v/>
      </c>
    </row>
    <row r="697" spans="1:22" ht="12.95" customHeight="1" x14ac:dyDescent="0.25">
      <c r="A697" s="60" t="str">
        <f t="shared" si="90"/>
        <v/>
      </c>
      <c r="B697" s="37"/>
      <c r="C697" s="28"/>
      <c r="D697" s="35"/>
      <c r="E697" s="38"/>
      <c r="F697" s="38"/>
      <c r="G697" s="60" t="str">
        <f t="shared" si="91"/>
        <v/>
      </c>
      <c r="H697" s="61" t="str">
        <f t="shared" si="92"/>
        <v/>
      </c>
      <c r="I697" s="40"/>
      <c r="J697" s="62" t="str">
        <f t="shared" si="93"/>
        <v/>
      </c>
      <c r="K697" s="45" t="str">
        <f t="shared" si="94"/>
        <v/>
      </c>
      <c r="L697" s="55"/>
      <c r="M697" s="63">
        <f t="shared" si="95"/>
        <v>0</v>
      </c>
      <c r="N697" s="63">
        <f t="shared" si="96"/>
        <v>0</v>
      </c>
      <c r="O697" s="57"/>
      <c r="P697" s="40"/>
      <c r="Q697" s="60" t="str">
        <f>IF($D697="","",IF($K697&lt;&gt;"Balance Sheet / Clearing","-",IF(SUMPRODUCT(--(LEFT('7. Settlements'!$J$8:$J$107,7)=$A697),--('7. Settlements'!$M$8:$M$107="Tied out"))+SUMPRODUCT(--(LEFT('8. Transfers'!$H$9:$H$108,7)=$A697),--('8. Transfers'!$J$9:$J$108="Matched"))+SUMPRODUCT(--(LEFT('8. Transfers'!$I$9:$I$108,7)=$A697),--('8. Transfers'!$J$9:$J$108="Matched"))+IF($O697="",0,COUNTIFS('9. Payroll Allocation'!$B$234:$B$253,$O697,'9. Payroll Allocation'!$H$234:$H$253,"Tied out"))&gt;0,"Linked","MISSING DETAIL")))</f>
        <v/>
      </c>
      <c r="T697" s="58" t="str">
        <f t="shared" si="97"/>
        <v/>
      </c>
      <c r="U697" s="59" t="str">
        <f>IF($T697="","",COUNTIF($T$6:$T697,"?*"))</f>
        <v/>
      </c>
      <c r="V697" s="58" t="str">
        <f t="shared" si="98"/>
        <v/>
      </c>
    </row>
    <row r="698" spans="1:22" ht="12.95" customHeight="1" x14ac:dyDescent="0.25">
      <c r="A698" s="52" t="str">
        <f t="shared" si="90"/>
        <v/>
      </c>
      <c r="B698" s="37"/>
      <c r="C698" s="28"/>
      <c r="D698" s="35"/>
      <c r="E698" s="38"/>
      <c r="F698" s="38"/>
      <c r="G698" s="52" t="str">
        <f t="shared" si="91"/>
        <v/>
      </c>
      <c r="H698" s="53" t="str">
        <f t="shared" si="92"/>
        <v/>
      </c>
      <c r="I698" s="40"/>
      <c r="J698" s="54" t="str">
        <f t="shared" si="93"/>
        <v/>
      </c>
      <c r="K698" s="41" t="str">
        <f t="shared" si="94"/>
        <v/>
      </c>
      <c r="L698" s="55"/>
      <c r="M698" s="56">
        <f t="shared" si="95"/>
        <v>0</v>
      </c>
      <c r="N698" s="56">
        <f t="shared" si="96"/>
        <v>0</v>
      </c>
      <c r="O698" s="57"/>
      <c r="P698" s="40"/>
      <c r="Q698" s="52" t="str">
        <f>IF($D698="","",IF($K698&lt;&gt;"Balance Sheet / Clearing","-",IF(SUMPRODUCT(--(LEFT('7. Settlements'!$J$8:$J$107,7)=$A698),--('7. Settlements'!$M$8:$M$107="Tied out"))+SUMPRODUCT(--(LEFT('8. Transfers'!$H$9:$H$108,7)=$A698),--('8. Transfers'!$J$9:$J$108="Matched"))+SUMPRODUCT(--(LEFT('8. Transfers'!$I$9:$I$108,7)=$A698),--('8. Transfers'!$J$9:$J$108="Matched"))+IF($O698="",0,COUNTIFS('9. Payroll Allocation'!$B$234:$B$253,$O698,'9. Payroll Allocation'!$H$234:$H$253,"Tied out"))&gt;0,"Linked","MISSING DETAIL")))</f>
        <v/>
      </c>
      <c r="T698" s="58" t="str">
        <f t="shared" si="97"/>
        <v/>
      </c>
      <c r="U698" s="59" t="str">
        <f>IF($T698="","",COUNTIF($T$6:$T698,"?*"))</f>
        <v/>
      </c>
      <c r="V698" s="58" t="str">
        <f t="shared" si="98"/>
        <v/>
      </c>
    </row>
    <row r="699" spans="1:22" ht="12.95" customHeight="1" x14ac:dyDescent="0.25">
      <c r="A699" s="60" t="str">
        <f t="shared" si="90"/>
        <v/>
      </c>
      <c r="B699" s="37"/>
      <c r="C699" s="28"/>
      <c r="D699" s="35"/>
      <c r="E699" s="38"/>
      <c r="F699" s="38"/>
      <c r="G699" s="60" t="str">
        <f t="shared" si="91"/>
        <v/>
      </c>
      <c r="H699" s="61" t="str">
        <f t="shared" si="92"/>
        <v/>
      </c>
      <c r="I699" s="40"/>
      <c r="J699" s="62" t="str">
        <f t="shared" si="93"/>
        <v/>
      </c>
      <c r="K699" s="45" t="str">
        <f t="shared" si="94"/>
        <v/>
      </c>
      <c r="L699" s="55"/>
      <c r="M699" s="63">
        <f t="shared" si="95"/>
        <v>0</v>
      </c>
      <c r="N699" s="63">
        <f t="shared" si="96"/>
        <v>0</v>
      </c>
      <c r="O699" s="57"/>
      <c r="P699" s="40"/>
      <c r="Q699" s="60" t="str">
        <f>IF($D699="","",IF($K699&lt;&gt;"Balance Sheet / Clearing","-",IF(SUMPRODUCT(--(LEFT('7. Settlements'!$J$8:$J$107,7)=$A699),--('7. Settlements'!$M$8:$M$107="Tied out"))+SUMPRODUCT(--(LEFT('8. Transfers'!$H$9:$H$108,7)=$A699),--('8. Transfers'!$J$9:$J$108="Matched"))+SUMPRODUCT(--(LEFT('8. Transfers'!$I$9:$I$108,7)=$A699),--('8. Transfers'!$J$9:$J$108="Matched"))+IF($O699="",0,COUNTIFS('9. Payroll Allocation'!$B$234:$B$253,$O699,'9. Payroll Allocation'!$H$234:$H$253,"Tied out"))&gt;0,"Linked","MISSING DETAIL")))</f>
        <v/>
      </c>
      <c r="T699" s="58" t="str">
        <f t="shared" si="97"/>
        <v/>
      </c>
      <c r="U699" s="59" t="str">
        <f>IF($T699="","",COUNTIF($T$6:$T699,"?*"))</f>
        <v/>
      </c>
      <c r="V699" s="58" t="str">
        <f t="shared" si="98"/>
        <v/>
      </c>
    </row>
    <row r="700" spans="1:22" ht="12.95" customHeight="1" x14ac:dyDescent="0.25">
      <c r="A700" s="52" t="str">
        <f t="shared" si="90"/>
        <v/>
      </c>
      <c r="B700" s="37"/>
      <c r="C700" s="28"/>
      <c r="D700" s="35"/>
      <c r="E700" s="38"/>
      <c r="F700" s="38"/>
      <c r="G700" s="52" t="str">
        <f t="shared" si="91"/>
        <v/>
      </c>
      <c r="H700" s="53" t="str">
        <f t="shared" si="92"/>
        <v/>
      </c>
      <c r="I700" s="40"/>
      <c r="J700" s="54" t="str">
        <f t="shared" si="93"/>
        <v/>
      </c>
      <c r="K700" s="41" t="str">
        <f t="shared" si="94"/>
        <v/>
      </c>
      <c r="L700" s="55"/>
      <c r="M700" s="56">
        <f t="shared" si="95"/>
        <v>0</v>
      </c>
      <c r="N700" s="56">
        <f t="shared" si="96"/>
        <v>0</v>
      </c>
      <c r="O700" s="57"/>
      <c r="P700" s="40"/>
      <c r="Q700" s="52" t="str">
        <f>IF($D700="","",IF($K700&lt;&gt;"Balance Sheet / Clearing","-",IF(SUMPRODUCT(--(LEFT('7. Settlements'!$J$8:$J$107,7)=$A700),--('7. Settlements'!$M$8:$M$107="Tied out"))+SUMPRODUCT(--(LEFT('8. Transfers'!$H$9:$H$108,7)=$A700),--('8. Transfers'!$J$9:$J$108="Matched"))+SUMPRODUCT(--(LEFT('8. Transfers'!$I$9:$I$108,7)=$A700),--('8. Transfers'!$J$9:$J$108="Matched"))+IF($O700="",0,COUNTIFS('9. Payroll Allocation'!$B$234:$B$253,$O700,'9. Payroll Allocation'!$H$234:$H$253,"Tied out"))&gt;0,"Linked","MISSING DETAIL")))</f>
        <v/>
      </c>
      <c r="T700" s="58" t="str">
        <f t="shared" si="97"/>
        <v/>
      </c>
      <c r="U700" s="59" t="str">
        <f>IF($T700="","",COUNTIF($T$6:$T700,"?*"))</f>
        <v/>
      </c>
      <c r="V700" s="58" t="str">
        <f t="shared" si="98"/>
        <v/>
      </c>
    </row>
    <row r="701" spans="1:22" ht="12.95" customHeight="1" x14ac:dyDescent="0.25">
      <c r="A701" s="60" t="str">
        <f t="shared" si="90"/>
        <v/>
      </c>
      <c r="B701" s="37"/>
      <c r="C701" s="28"/>
      <c r="D701" s="35"/>
      <c r="E701" s="38"/>
      <c r="F701" s="38"/>
      <c r="G701" s="60" t="str">
        <f t="shared" si="91"/>
        <v/>
      </c>
      <c r="H701" s="61" t="str">
        <f t="shared" si="92"/>
        <v/>
      </c>
      <c r="I701" s="40"/>
      <c r="J701" s="62" t="str">
        <f t="shared" si="93"/>
        <v/>
      </c>
      <c r="K701" s="45" t="str">
        <f t="shared" si="94"/>
        <v/>
      </c>
      <c r="L701" s="55"/>
      <c r="M701" s="63">
        <f t="shared" si="95"/>
        <v>0</v>
      </c>
      <c r="N701" s="63">
        <f t="shared" si="96"/>
        <v>0</v>
      </c>
      <c r="O701" s="57"/>
      <c r="P701" s="40"/>
      <c r="Q701" s="60" t="str">
        <f>IF($D701="","",IF($K701&lt;&gt;"Balance Sheet / Clearing","-",IF(SUMPRODUCT(--(LEFT('7. Settlements'!$J$8:$J$107,7)=$A701),--('7. Settlements'!$M$8:$M$107="Tied out"))+SUMPRODUCT(--(LEFT('8. Transfers'!$H$9:$H$108,7)=$A701),--('8. Transfers'!$J$9:$J$108="Matched"))+SUMPRODUCT(--(LEFT('8. Transfers'!$I$9:$I$108,7)=$A701),--('8. Transfers'!$J$9:$J$108="Matched"))+IF($O701="",0,COUNTIFS('9. Payroll Allocation'!$B$234:$B$253,$O701,'9. Payroll Allocation'!$H$234:$H$253,"Tied out"))&gt;0,"Linked","MISSING DETAIL")))</f>
        <v/>
      </c>
      <c r="T701" s="58" t="str">
        <f t="shared" si="97"/>
        <v/>
      </c>
      <c r="U701" s="59" t="str">
        <f>IF($T701="","",COUNTIF($T$6:$T701,"?*"))</f>
        <v/>
      </c>
      <c r="V701" s="58" t="str">
        <f t="shared" si="98"/>
        <v/>
      </c>
    </row>
    <row r="702" spans="1:22" ht="12.95" customHeight="1" x14ac:dyDescent="0.25">
      <c r="A702" s="52" t="str">
        <f t="shared" si="90"/>
        <v/>
      </c>
      <c r="B702" s="37"/>
      <c r="C702" s="28"/>
      <c r="D702" s="35"/>
      <c r="E702" s="38"/>
      <c r="F702" s="38"/>
      <c r="G702" s="52" t="str">
        <f t="shared" si="91"/>
        <v/>
      </c>
      <c r="H702" s="53" t="str">
        <f t="shared" si="92"/>
        <v/>
      </c>
      <c r="I702" s="40"/>
      <c r="J702" s="54" t="str">
        <f t="shared" si="93"/>
        <v/>
      </c>
      <c r="K702" s="41" t="str">
        <f t="shared" si="94"/>
        <v/>
      </c>
      <c r="L702" s="55"/>
      <c r="M702" s="56">
        <f t="shared" si="95"/>
        <v>0</v>
      </c>
      <c r="N702" s="56">
        <f t="shared" si="96"/>
        <v>0</v>
      </c>
      <c r="O702" s="57"/>
      <c r="P702" s="40"/>
      <c r="Q702" s="52" t="str">
        <f>IF($D702="","",IF($K702&lt;&gt;"Balance Sheet / Clearing","-",IF(SUMPRODUCT(--(LEFT('7. Settlements'!$J$8:$J$107,7)=$A702),--('7. Settlements'!$M$8:$M$107="Tied out"))+SUMPRODUCT(--(LEFT('8. Transfers'!$H$9:$H$108,7)=$A702),--('8. Transfers'!$J$9:$J$108="Matched"))+SUMPRODUCT(--(LEFT('8. Transfers'!$I$9:$I$108,7)=$A702),--('8. Transfers'!$J$9:$J$108="Matched"))+IF($O702="",0,COUNTIFS('9. Payroll Allocation'!$B$234:$B$253,$O702,'9. Payroll Allocation'!$H$234:$H$253,"Tied out"))&gt;0,"Linked","MISSING DETAIL")))</f>
        <v/>
      </c>
      <c r="T702" s="58" t="str">
        <f t="shared" si="97"/>
        <v/>
      </c>
      <c r="U702" s="59" t="str">
        <f>IF($T702="","",COUNTIF($T$6:$T702,"?*"))</f>
        <v/>
      </c>
      <c r="V702" s="58" t="str">
        <f t="shared" si="98"/>
        <v/>
      </c>
    </row>
    <row r="703" spans="1:22" ht="12.95" customHeight="1" x14ac:dyDescent="0.25">
      <c r="A703" s="60" t="str">
        <f t="shared" si="90"/>
        <v/>
      </c>
      <c r="B703" s="37"/>
      <c r="C703" s="28"/>
      <c r="D703" s="35"/>
      <c r="E703" s="38"/>
      <c r="F703" s="38"/>
      <c r="G703" s="60" t="str">
        <f t="shared" si="91"/>
        <v/>
      </c>
      <c r="H703" s="61" t="str">
        <f t="shared" si="92"/>
        <v/>
      </c>
      <c r="I703" s="40"/>
      <c r="J703" s="62" t="str">
        <f t="shared" si="93"/>
        <v/>
      </c>
      <c r="K703" s="45" t="str">
        <f t="shared" si="94"/>
        <v/>
      </c>
      <c r="L703" s="55"/>
      <c r="M703" s="63">
        <f t="shared" si="95"/>
        <v>0</v>
      </c>
      <c r="N703" s="63">
        <f t="shared" si="96"/>
        <v>0</v>
      </c>
      <c r="O703" s="57"/>
      <c r="P703" s="40"/>
      <c r="Q703" s="60" t="str">
        <f>IF($D703="","",IF($K703&lt;&gt;"Balance Sheet / Clearing","-",IF(SUMPRODUCT(--(LEFT('7. Settlements'!$J$8:$J$107,7)=$A703),--('7. Settlements'!$M$8:$M$107="Tied out"))+SUMPRODUCT(--(LEFT('8. Transfers'!$H$9:$H$108,7)=$A703),--('8. Transfers'!$J$9:$J$108="Matched"))+SUMPRODUCT(--(LEFT('8. Transfers'!$I$9:$I$108,7)=$A703),--('8. Transfers'!$J$9:$J$108="Matched"))+IF($O703="",0,COUNTIFS('9. Payroll Allocation'!$B$234:$B$253,$O703,'9. Payroll Allocation'!$H$234:$H$253,"Tied out"))&gt;0,"Linked","MISSING DETAIL")))</f>
        <v/>
      </c>
      <c r="T703" s="58" t="str">
        <f t="shared" si="97"/>
        <v/>
      </c>
      <c r="U703" s="59" t="str">
        <f>IF($T703="","",COUNTIF($T$6:$T703,"?*"))</f>
        <v/>
      </c>
      <c r="V703" s="58" t="str">
        <f t="shared" si="98"/>
        <v/>
      </c>
    </row>
    <row r="704" spans="1:22" ht="12.95" customHeight="1" x14ac:dyDescent="0.25">
      <c r="A704" s="52" t="str">
        <f t="shared" si="90"/>
        <v/>
      </c>
      <c r="B704" s="37"/>
      <c r="C704" s="28"/>
      <c r="D704" s="35"/>
      <c r="E704" s="38"/>
      <c r="F704" s="38"/>
      <c r="G704" s="52" t="str">
        <f t="shared" si="91"/>
        <v/>
      </c>
      <c r="H704" s="53" t="str">
        <f t="shared" si="92"/>
        <v/>
      </c>
      <c r="I704" s="40"/>
      <c r="J704" s="54" t="str">
        <f t="shared" si="93"/>
        <v/>
      </c>
      <c r="K704" s="41" t="str">
        <f t="shared" si="94"/>
        <v/>
      </c>
      <c r="L704" s="55"/>
      <c r="M704" s="56">
        <f t="shared" si="95"/>
        <v>0</v>
      </c>
      <c r="N704" s="56">
        <f t="shared" si="96"/>
        <v>0</v>
      </c>
      <c r="O704" s="57"/>
      <c r="P704" s="40"/>
      <c r="Q704" s="52" t="str">
        <f>IF($D704="","",IF($K704&lt;&gt;"Balance Sheet / Clearing","-",IF(SUMPRODUCT(--(LEFT('7. Settlements'!$J$8:$J$107,7)=$A704),--('7. Settlements'!$M$8:$M$107="Tied out"))+SUMPRODUCT(--(LEFT('8. Transfers'!$H$9:$H$108,7)=$A704),--('8. Transfers'!$J$9:$J$108="Matched"))+SUMPRODUCT(--(LEFT('8. Transfers'!$I$9:$I$108,7)=$A704),--('8. Transfers'!$J$9:$J$108="Matched"))+IF($O704="",0,COUNTIFS('9. Payroll Allocation'!$B$234:$B$253,$O704,'9. Payroll Allocation'!$H$234:$H$253,"Tied out"))&gt;0,"Linked","MISSING DETAIL")))</f>
        <v/>
      </c>
      <c r="T704" s="58" t="str">
        <f t="shared" si="97"/>
        <v/>
      </c>
      <c r="U704" s="59" t="str">
        <f>IF($T704="","",COUNTIF($T$6:$T704,"?*"))</f>
        <v/>
      </c>
      <c r="V704" s="58" t="str">
        <f t="shared" si="98"/>
        <v/>
      </c>
    </row>
    <row r="705" spans="1:22" ht="12.95" customHeight="1" x14ac:dyDescent="0.25">
      <c r="A705" s="60" t="str">
        <f t="shared" si="90"/>
        <v/>
      </c>
      <c r="B705" s="37"/>
      <c r="C705" s="28"/>
      <c r="D705" s="35"/>
      <c r="E705" s="38"/>
      <c r="F705" s="38"/>
      <c r="G705" s="60" t="str">
        <f t="shared" si="91"/>
        <v/>
      </c>
      <c r="H705" s="61" t="str">
        <f t="shared" si="92"/>
        <v/>
      </c>
      <c r="I705" s="40"/>
      <c r="J705" s="62" t="str">
        <f t="shared" si="93"/>
        <v/>
      </c>
      <c r="K705" s="45" t="str">
        <f t="shared" si="94"/>
        <v/>
      </c>
      <c r="L705" s="55"/>
      <c r="M705" s="63">
        <f t="shared" si="95"/>
        <v>0</v>
      </c>
      <c r="N705" s="63">
        <f t="shared" si="96"/>
        <v>0</v>
      </c>
      <c r="O705" s="57"/>
      <c r="P705" s="40"/>
      <c r="Q705" s="60" t="str">
        <f>IF($D705="","",IF($K705&lt;&gt;"Balance Sheet / Clearing","-",IF(SUMPRODUCT(--(LEFT('7. Settlements'!$J$8:$J$107,7)=$A705),--('7. Settlements'!$M$8:$M$107="Tied out"))+SUMPRODUCT(--(LEFT('8. Transfers'!$H$9:$H$108,7)=$A705),--('8. Transfers'!$J$9:$J$108="Matched"))+SUMPRODUCT(--(LEFT('8. Transfers'!$I$9:$I$108,7)=$A705),--('8. Transfers'!$J$9:$J$108="Matched"))+IF($O705="",0,COUNTIFS('9. Payroll Allocation'!$B$234:$B$253,$O705,'9. Payroll Allocation'!$H$234:$H$253,"Tied out"))&gt;0,"Linked","MISSING DETAIL")))</f>
        <v/>
      </c>
      <c r="T705" s="58" t="str">
        <f t="shared" si="97"/>
        <v/>
      </c>
      <c r="U705" s="59" t="str">
        <f>IF($T705="","",COUNTIF($T$6:$T705,"?*"))</f>
        <v/>
      </c>
      <c r="V705" s="58" t="str">
        <f t="shared" si="98"/>
        <v/>
      </c>
    </row>
    <row r="706" spans="1:22" ht="12.95" customHeight="1" x14ac:dyDescent="0.25">
      <c r="A706" s="52" t="str">
        <f t="shared" si="90"/>
        <v/>
      </c>
      <c r="B706" s="37"/>
      <c r="C706" s="28"/>
      <c r="D706" s="35"/>
      <c r="E706" s="38"/>
      <c r="F706" s="38"/>
      <c r="G706" s="52" t="str">
        <f t="shared" si="91"/>
        <v/>
      </c>
      <c r="H706" s="53" t="str">
        <f t="shared" si="92"/>
        <v/>
      </c>
      <c r="I706" s="40"/>
      <c r="J706" s="54" t="str">
        <f t="shared" si="93"/>
        <v/>
      </c>
      <c r="K706" s="41" t="str">
        <f t="shared" si="94"/>
        <v/>
      </c>
      <c r="L706" s="55"/>
      <c r="M706" s="56">
        <f t="shared" si="95"/>
        <v>0</v>
      </c>
      <c r="N706" s="56">
        <f t="shared" si="96"/>
        <v>0</v>
      </c>
      <c r="O706" s="57"/>
      <c r="P706" s="40"/>
      <c r="Q706" s="52" t="str">
        <f>IF($D706="","",IF($K706&lt;&gt;"Balance Sheet / Clearing","-",IF(SUMPRODUCT(--(LEFT('7. Settlements'!$J$8:$J$107,7)=$A706),--('7. Settlements'!$M$8:$M$107="Tied out"))+SUMPRODUCT(--(LEFT('8. Transfers'!$H$9:$H$108,7)=$A706),--('8. Transfers'!$J$9:$J$108="Matched"))+SUMPRODUCT(--(LEFT('8. Transfers'!$I$9:$I$108,7)=$A706),--('8. Transfers'!$J$9:$J$108="Matched"))+IF($O706="",0,COUNTIFS('9. Payroll Allocation'!$B$234:$B$253,$O706,'9. Payroll Allocation'!$H$234:$H$253,"Tied out"))&gt;0,"Linked","MISSING DETAIL")))</f>
        <v/>
      </c>
      <c r="T706" s="58" t="str">
        <f t="shared" si="97"/>
        <v/>
      </c>
      <c r="U706" s="59" t="str">
        <f>IF($T706="","",COUNTIF($T$6:$T706,"?*"))</f>
        <v/>
      </c>
      <c r="V706" s="58" t="str">
        <f t="shared" si="98"/>
        <v/>
      </c>
    </row>
    <row r="707" spans="1:22" ht="12.95" customHeight="1" x14ac:dyDescent="0.25">
      <c r="A707" s="60" t="str">
        <f t="shared" si="90"/>
        <v/>
      </c>
      <c r="B707" s="37"/>
      <c r="C707" s="28"/>
      <c r="D707" s="35"/>
      <c r="E707" s="38"/>
      <c r="F707" s="38"/>
      <c r="G707" s="60" t="str">
        <f t="shared" si="91"/>
        <v/>
      </c>
      <c r="H707" s="61" t="str">
        <f t="shared" si="92"/>
        <v/>
      </c>
      <c r="I707" s="40"/>
      <c r="J707" s="62" t="str">
        <f t="shared" si="93"/>
        <v/>
      </c>
      <c r="K707" s="45" t="str">
        <f t="shared" si="94"/>
        <v/>
      </c>
      <c r="L707" s="55"/>
      <c r="M707" s="63">
        <f t="shared" si="95"/>
        <v>0</v>
      </c>
      <c r="N707" s="63">
        <f t="shared" si="96"/>
        <v>0</v>
      </c>
      <c r="O707" s="57"/>
      <c r="P707" s="40"/>
      <c r="Q707" s="60" t="str">
        <f>IF($D707="","",IF($K707&lt;&gt;"Balance Sheet / Clearing","-",IF(SUMPRODUCT(--(LEFT('7. Settlements'!$J$8:$J$107,7)=$A707),--('7. Settlements'!$M$8:$M$107="Tied out"))+SUMPRODUCT(--(LEFT('8. Transfers'!$H$9:$H$108,7)=$A707),--('8. Transfers'!$J$9:$J$108="Matched"))+SUMPRODUCT(--(LEFT('8. Transfers'!$I$9:$I$108,7)=$A707),--('8. Transfers'!$J$9:$J$108="Matched"))+IF($O707="",0,COUNTIFS('9. Payroll Allocation'!$B$234:$B$253,$O707,'9. Payroll Allocation'!$H$234:$H$253,"Tied out"))&gt;0,"Linked","MISSING DETAIL")))</f>
        <v/>
      </c>
      <c r="T707" s="58" t="str">
        <f t="shared" si="97"/>
        <v/>
      </c>
      <c r="U707" s="59" t="str">
        <f>IF($T707="","",COUNTIF($T$6:$T707,"?*"))</f>
        <v/>
      </c>
      <c r="V707" s="58" t="str">
        <f t="shared" si="98"/>
        <v/>
      </c>
    </row>
    <row r="708" spans="1:22" ht="12.95" customHeight="1" x14ac:dyDescent="0.25">
      <c r="A708" s="52" t="str">
        <f t="shared" si="90"/>
        <v/>
      </c>
      <c r="B708" s="37"/>
      <c r="C708" s="28"/>
      <c r="D708" s="35"/>
      <c r="E708" s="38"/>
      <c r="F708" s="38"/>
      <c r="G708" s="52" t="str">
        <f t="shared" si="91"/>
        <v/>
      </c>
      <c r="H708" s="53" t="str">
        <f t="shared" si="92"/>
        <v/>
      </c>
      <c r="I708" s="40"/>
      <c r="J708" s="54" t="str">
        <f t="shared" si="93"/>
        <v/>
      </c>
      <c r="K708" s="41" t="str">
        <f t="shared" si="94"/>
        <v/>
      </c>
      <c r="L708" s="55"/>
      <c r="M708" s="56">
        <f t="shared" si="95"/>
        <v>0</v>
      </c>
      <c r="N708" s="56">
        <f t="shared" si="96"/>
        <v>0</v>
      </c>
      <c r="O708" s="57"/>
      <c r="P708" s="40"/>
      <c r="Q708" s="52" t="str">
        <f>IF($D708="","",IF($K708&lt;&gt;"Balance Sheet / Clearing","-",IF(SUMPRODUCT(--(LEFT('7. Settlements'!$J$8:$J$107,7)=$A708),--('7. Settlements'!$M$8:$M$107="Tied out"))+SUMPRODUCT(--(LEFT('8. Transfers'!$H$9:$H$108,7)=$A708),--('8. Transfers'!$J$9:$J$108="Matched"))+SUMPRODUCT(--(LEFT('8. Transfers'!$I$9:$I$108,7)=$A708),--('8. Transfers'!$J$9:$J$108="Matched"))+IF($O708="",0,COUNTIFS('9. Payroll Allocation'!$B$234:$B$253,$O708,'9. Payroll Allocation'!$H$234:$H$253,"Tied out"))&gt;0,"Linked","MISSING DETAIL")))</f>
        <v/>
      </c>
      <c r="T708" s="58" t="str">
        <f t="shared" si="97"/>
        <v/>
      </c>
      <c r="U708" s="59" t="str">
        <f>IF($T708="","",COUNTIF($T$6:$T708,"?*"))</f>
        <v/>
      </c>
      <c r="V708" s="58" t="str">
        <f t="shared" si="98"/>
        <v/>
      </c>
    </row>
    <row r="709" spans="1:22" ht="12.95" customHeight="1" x14ac:dyDescent="0.25">
      <c r="A709" s="60" t="str">
        <f t="shared" si="90"/>
        <v/>
      </c>
      <c r="B709" s="37"/>
      <c r="C709" s="28"/>
      <c r="D709" s="35"/>
      <c r="E709" s="38"/>
      <c r="F709" s="38"/>
      <c r="G709" s="60" t="str">
        <f t="shared" si="91"/>
        <v/>
      </c>
      <c r="H709" s="61" t="str">
        <f t="shared" si="92"/>
        <v/>
      </c>
      <c r="I709" s="40"/>
      <c r="J709" s="62" t="str">
        <f t="shared" si="93"/>
        <v/>
      </c>
      <c r="K709" s="45" t="str">
        <f t="shared" si="94"/>
        <v/>
      </c>
      <c r="L709" s="55"/>
      <c r="M709" s="63">
        <f t="shared" si="95"/>
        <v>0</v>
      </c>
      <c r="N709" s="63">
        <f t="shared" si="96"/>
        <v>0</v>
      </c>
      <c r="O709" s="57"/>
      <c r="P709" s="40"/>
      <c r="Q709" s="60" t="str">
        <f>IF($D709="","",IF($K709&lt;&gt;"Balance Sheet / Clearing","-",IF(SUMPRODUCT(--(LEFT('7. Settlements'!$J$8:$J$107,7)=$A709),--('7. Settlements'!$M$8:$M$107="Tied out"))+SUMPRODUCT(--(LEFT('8. Transfers'!$H$9:$H$108,7)=$A709),--('8. Transfers'!$J$9:$J$108="Matched"))+SUMPRODUCT(--(LEFT('8. Transfers'!$I$9:$I$108,7)=$A709),--('8. Transfers'!$J$9:$J$108="Matched"))+IF($O709="",0,COUNTIFS('9. Payroll Allocation'!$B$234:$B$253,$O709,'9. Payroll Allocation'!$H$234:$H$253,"Tied out"))&gt;0,"Linked","MISSING DETAIL")))</f>
        <v/>
      </c>
      <c r="T709" s="58" t="str">
        <f t="shared" si="97"/>
        <v/>
      </c>
      <c r="U709" s="59" t="str">
        <f>IF($T709="","",COUNTIF($T$6:$T709,"?*"))</f>
        <v/>
      </c>
      <c r="V709" s="58" t="str">
        <f t="shared" si="98"/>
        <v/>
      </c>
    </row>
    <row r="710" spans="1:22" ht="12.95" customHeight="1" x14ac:dyDescent="0.25">
      <c r="A710" s="52" t="str">
        <f t="shared" ref="A710:A773" si="99">IF($D710="","","TX-"&amp;TEXT(ROW()-5,"0000"))</f>
        <v/>
      </c>
      <c r="B710" s="37"/>
      <c r="C710" s="28"/>
      <c r="D710" s="35"/>
      <c r="E710" s="38"/>
      <c r="F710" s="38"/>
      <c r="G710" s="52" t="str">
        <f t="shared" ref="G710:G773" si="100">IF($D710="","",IFERROR(_xlfn.AGGREGATE(15,6,Rules_Pri/((ISNUMBER(SEARCH(Rules_Key,$D710)))*(Rules_Key&lt;&gt;"")*(Rules_Active="Yes")*((Rules_Dir="Any")+(Rules_Dir=IF(N($E710)&gt;0,"In","Out")))),1),""))</f>
        <v/>
      </c>
      <c r="H710" s="53" t="str">
        <f t="shared" ref="H710:H773" si="101">IF($D710="","",IF($G710="",IF(N($E710)&gt;0,"Uncategorized Deposit - NEEDS REVIEW","Uncategorized - NEEDS REVIEW"),INDEX(Rules_Cat,MATCH(1,INDEX(((ISNUMBER(SEARCH(Rules_Key,$D710)))*(Rules_Key&lt;&gt;"")*(Rules_Active="Yes")*((Rules_Dir="Any")+(Rules_Dir=IF(N($E710)&gt;0,"In","Out"))))*(Rules_Pri=$G710),0),0))))</f>
        <v/>
      </c>
      <c r="I710" s="40"/>
      <c r="J710" s="54" t="str">
        <f t="shared" ref="J710:J773" si="102">IF($D710="","",IF($I710&lt;&gt;"",$I710,$H710))</f>
        <v/>
      </c>
      <c r="K710" s="41" t="str">
        <f t="shared" ref="K710:K773" si="103">IF($J710="","",IFERROR(INDEX(Cat_Treatment,MATCH($J710,Cat_Name,0)),"Review Required"))</f>
        <v/>
      </c>
      <c r="L710" s="55"/>
      <c r="M710" s="56">
        <f t="shared" ref="M710:M773" si="104">IF($K710&lt;&gt;"Operating Expense",0,IF(AND($L710&lt;&gt;"",OR(N($L710)&lt;0,N($L710)&gt;1)),0,ROUND(N($F710)*IF($L710="",1,$L710),2)))</f>
        <v>0</v>
      </c>
      <c r="N710" s="56">
        <f t="shared" ref="N710:N773" si="105">IF($K710="Operating Revenue",ROUND(N($E710)-N($F710),2),0)</f>
        <v>0</v>
      </c>
      <c r="O710" s="57"/>
      <c r="P710" s="40"/>
      <c r="Q710" s="52" t="str">
        <f>IF($D710="","",IF($K710&lt;&gt;"Balance Sheet / Clearing","-",IF(SUMPRODUCT(--(LEFT('7. Settlements'!$J$8:$J$107,7)=$A710),--('7. Settlements'!$M$8:$M$107="Tied out"))+SUMPRODUCT(--(LEFT('8. Transfers'!$H$9:$H$108,7)=$A710),--('8. Transfers'!$J$9:$J$108="Matched"))+SUMPRODUCT(--(LEFT('8. Transfers'!$I$9:$I$108,7)=$A710),--('8. Transfers'!$J$9:$J$108="Matched"))+IF($O710="",0,COUNTIFS('9. Payroll Allocation'!$B$234:$B$253,$O710,'9. Payroll Allocation'!$H$234:$H$253,"Tied out"))&gt;0,"Linked","MISSING DETAIL")))</f>
        <v/>
      </c>
      <c r="T710" s="58" t="str">
        <f t="shared" ref="T710:T773" si="106">IF(OR($D710="",$K710&lt;&gt;"Balance Sheet / Clearing"),"",$A710&amp;" · "&amp;TEXT($B710,"mm/dd")&amp;" · "&amp;LEFT($D710,24)&amp;" · "&amp;TEXT(N($E710)+N($F710),"#,##0.00"))</f>
        <v/>
      </c>
      <c r="U710" s="59" t="str">
        <f>IF($T710="","",COUNTIF($T$6:$T710,"?*"))</f>
        <v/>
      </c>
      <c r="V710" s="58" t="str">
        <f t="shared" ref="V710:V773" si="107">IFERROR(INDEX($T$6:$T$1005,MATCH(ROW()-5,$U$6:$U$1005,0)),"")</f>
        <v/>
      </c>
    </row>
    <row r="711" spans="1:22" ht="12.95" customHeight="1" x14ac:dyDescent="0.25">
      <c r="A711" s="60" t="str">
        <f t="shared" si="99"/>
        <v/>
      </c>
      <c r="B711" s="37"/>
      <c r="C711" s="28"/>
      <c r="D711" s="35"/>
      <c r="E711" s="38"/>
      <c r="F711" s="38"/>
      <c r="G711" s="60" t="str">
        <f t="shared" si="100"/>
        <v/>
      </c>
      <c r="H711" s="61" t="str">
        <f t="shared" si="101"/>
        <v/>
      </c>
      <c r="I711" s="40"/>
      <c r="J711" s="62" t="str">
        <f t="shared" si="102"/>
        <v/>
      </c>
      <c r="K711" s="45" t="str">
        <f t="shared" si="103"/>
        <v/>
      </c>
      <c r="L711" s="55"/>
      <c r="M711" s="63">
        <f t="shared" si="104"/>
        <v>0</v>
      </c>
      <c r="N711" s="63">
        <f t="shared" si="105"/>
        <v>0</v>
      </c>
      <c r="O711" s="57"/>
      <c r="P711" s="40"/>
      <c r="Q711" s="60" t="str">
        <f>IF($D711="","",IF($K711&lt;&gt;"Balance Sheet / Clearing","-",IF(SUMPRODUCT(--(LEFT('7. Settlements'!$J$8:$J$107,7)=$A711),--('7. Settlements'!$M$8:$M$107="Tied out"))+SUMPRODUCT(--(LEFT('8. Transfers'!$H$9:$H$108,7)=$A711),--('8. Transfers'!$J$9:$J$108="Matched"))+SUMPRODUCT(--(LEFT('8. Transfers'!$I$9:$I$108,7)=$A711),--('8. Transfers'!$J$9:$J$108="Matched"))+IF($O711="",0,COUNTIFS('9. Payroll Allocation'!$B$234:$B$253,$O711,'9. Payroll Allocation'!$H$234:$H$253,"Tied out"))&gt;0,"Linked","MISSING DETAIL")))</f>
        <v/>
      </c>
      <c r="T711" s="58" t="str">
        <f t="shared" si="106"/>
        <v/>
      </c>
      <c r="U711" s="59" t="str">
        <f>IF($T711="","",COUNTIF($T$6:$T711,"?*"))</f>
        <v/>
      </c>
      <c r="V711" s="58" t="str">
        <f t="shared" si="107"/>
        <v/>
      </c>
    </row>
    <row r="712" spans="1:22" ht="12.95" customHeight="1" x14ac:dyDescent="0.25">
      <c r="A712" s="52" t="str">
        <f t="shared" si="99"/>
        <v/>
      </c>
      <c r="B712" s="37"/>
      <c r="C712" s="28"/>
      <c r="D712" s="35"/>
      <c r="E712" s="38"/>
      <c r="F712" s="38"/>
      <c r="G712" s="52" t="str">
        <f t="shared" si="100"/>
        <v/>
      </c>
      <c r="H712" s="53" t="str">
        <f t="shared" si="101"/>
        <v/>
      </c>
      <c r="I712" s="40"/>
      <c r="J712" s="54" t="str">
        <f t="shared" si="102"/>
        <v/>
      </c>
      <c r="K712" s="41" t="str">
        <f t="shared" si="103"/>
        <v/>
      </c>
      <c r="L712" s="55"/>
      <c r="M712" s="56">
        <f t="shared" si="104"/>
        <v>0</v>
      </c>
      <c r="N712" s="56">
        <f t="shared" si="105"/>
        <v>0</v>
      </c>
      <c r="O712" s="57"/>
      <c r="P712" s="40"/>
      <c r="Q712" s="52" t="str">
        <f>IF($D712="","",IF($K712&lt;&gt;"Balance Sheet / Clearing","-",IF(SUMPRODUCT(--(LEFT('7. Settlements'!$J$8:$J$107,7)=$A712),--('7. Settlements'!$M$8:$M$107="Tied out"))+SUMPRODUCT(--(LEFT('8. Transfers'!$H$9:$H$108,7)=$A712),--('8. Transfers'!$J$9:$J$108="Matched"))+SUMPRODUCT(--(LEFT('8. Transfers'!$I$9:$I$108,7)=$A712),--('8. Transfers'!$J$9:$J$108="Matched"))+IF($O712="",0,COUNTIFS('9. Payroll Allocation'!$B$234:$B$253,$O712,'9. Payroll Allocation'!$H$234:$H$253,"Tied out"))&gt;0,"Linked","MISSING DETAIL")))</f>
        <v/>
      </c>
      <c r="T712" s="58" t="str">
        <f t="shared" si="106"/>
        <v/>
      </c>
      <c r="U712" s="59" t="str">
        <f>IF($T712="","",COUNTIF($T$6:$T712,"?*"))</f>
        <v/>
      </c>
      <c r="V712" s="58" t="str">
        <f t="shared" si="107"/>
        <v/>
      </c>
    </row>
    <row r="713" spans="1:22" ht="12.95" customHeight="1" x14ac:dyDescent="0.25">
      <c r="A713" s="60" t="str">
        <f t="shared" si="99"/>
        <v/>
      </c>
      <c r="B713" s="37"/>
      <c r="C713" s="28"/>
      <c r="D713" s="35"/>
      <c r="E713" s="38"/>
      <c r="F713" s="38"/>
      <c r="G713" s="60" t="str">
        <f t="shared" si="100"/>
        <v/>
      </c>
      <c r="H713" s="61" t="str">
        <f t="shared" si="101"/>
        <v/>
      </c>
      <c r="I713" s="40"/>
      <c r="J713" s="62" t="str">
        <f t="shared" si="102"/>
        <v/>
      </c>
      <c r="K713" s="45" t="str">
        <f t="shared" si="103"/>
        <v/>
      </c>
      <c r="L713" s="55"/>
      <c r="M713" s="63">
        <f t="shared" si="104"/>
        <v>0</v>
      </c>
      <c r="N713" s="63">
        <f t="shared" si="105"/>
        <v>0</v>
      </c>
      <c r="O713" s="57"/>
      <c r="P713" s="40"/>
      <c r="Q713" s="60" t="str">
        <f>IF($D713="","",IF($K713&lt;&gt;"Balance Sheet / Clearing","-",IF(SUMPRODUCT(--(LEFT('7. Settlements'!$J$8:$J$107,7)=$A713),--('7. Settlements'!$M$8:$M$107="Tied out"))+SUMPRODUCT(--(LEFT('8. Transfers'!$H$9:$H$108,7)=$A713),--('8. Transfers'!$J$9:$J$108="Matched"))+SUMPRODUCT(--(LEFT('8. Transfers'!$I$9:$I$108,7)=$A713),--('8. Transfers'!$J$9:$J$108="Matched"))+IF($O713="",0,COUNTIFS('9. Payroll Allocation'!$B$234:$B$253,$O713,'9. Payroll Allocation'!$H$234:$H$253,"Tied out"))&gt;0,"Linked","MISSING DETAIL")))</f>
        <v/>
      </c>
      <c r="T713" s="58" t="str">
        <f t="shared" si="106"/>
        <v/>
      </c>
      <c r="U713" s="59" t="str">
        <f>IF($T713="","",COUNTIF($T$6:$T713,"?*"))</f>
        <v/>
      </c>
      <c r="V713" s="58" t="str">
        <f t="shared" si="107"/>
        <v/>
      </c>
    </row>
    <row r="714" spans="1:22" ht="12.95" customHeight="1" x14ac:dyDescent="0.25">
      <c r="A714" s="52" t="str">
        <f t="shared" si="99"/>
        <v/>
      </c>
      <c r="B714" s="37"/>
      <c r="C714" s="28"/>
      <c r="D714" s="35"/>
      <c r="E714" s="38"/>
      <c r="F714" s="38"/>
      <c r="G714" s="52" t="str">
        <f t="shared" si="100"/>
        <v/>
      </c>
      <c r="H714" s="53" t="str">
        <f t="shared" si="101"/>
        <v/>
      </c>
      <c r="I714" s="40"/>
      <c r="J714" s="54" t="str">
        <f t="shared" si="102"/>
        <v/>
      </c>
      <c r="K714" s="41" t="str">
        <f t="shared" si="103"/>
        <v/>
      </c>
      <c r="L714" s="55"/>
      <c r="M714" s="56">
        <f t="shared" si="104"/>
        <v>0</v>
      </c>
      <c r="N714" s="56">
        <f t="shared" si="105"/>
        <v>0</v>
      </c>
      <c r="O714" s="57"/>
      <c r="P714" s="40"/>
      <c r="Q714" s="52" t="str">
        <f>IF($D714="","",IF($K714&lt;&gt;"Balance Sheet / Clearing","-",IF(SUMPRODUCT(--(LEFT('7. Settlements'!$J$8:$J$107,7)=$A714),--('7. Settlements'!$M$8:$M$107="Tied out"))+SUMPRODUCT(--(LEFT('8. Transfers'!$H$9:$H$108,7)=$A714),--('8. Transfers'!$J$9:$J$108="Matched"))+SUMPRODUCT(--(LEFT('8. Transfers'!$I$9:$I$108,7)=$A714),--('8. Transfers'!$J$9:$J$108="Matched"))+IF($O714="",0,COUNTIFS('9. Payroll Allocation'!$B$234:$B$253,$O714,'9. Payroll Allocation'!$H$234:$H$253,"Tied out"))&gt;0,"Linked","MISSING DETAIL")))</f>
        <v/>
      </c>
      <c r="T714" s="58" t="str">
        <f t="shared" si="106"/>
        <v/>
      </c>
      <c r="U714" s="59" t="str">
        <f>IF($T714="","",COUNTIF($T$6:$T714,"?*"))</f>
        <v/>
      </c>
      <c r="V714" s="58" t="str">
        <f t="shared" si="107"/>
        <v/>
      </c>
    </row>
    <row r="715" spans="1:22" ht="12.95" customHeight="1" x14ac:dyDescent="0.25">
      <c r="A715" s="60" t="str">
        <f t="shared" si="99"/>
        <v/>
      </c>
      <c r="B715" s="37"/>
      <c r="C715" s="28"/>
      <c r="D715" s="35"/>
      <c r="E715" s="38"/>
      <c r="F715" s="38"/>
      <c r="G715" s="60" t="str">
        <f t="shared" si="100"/>
        <v/>
      </c>
      <c r="H715" s="61" t="str">
        <f t="shared" si="101"/>
        <v/>
      </c>
      <c r="I715" s="40"/>
      <c r="J715" s="62" t="str">
        <f t="shared" si="102"/>
        <v/>
      </c>
      <c r="K715" s="45" t="str">
        <f t="shared" si="103"/>
        <v/>
      </c>
      <c r="L715" s="55"/>
      <c r="M715" s="63">
        <f t="shared" si="104"/>
        <v>0</v>
      </c>
      <c r="N715" s="63">
        <f t="shared" si="105"/>
        <v>0</v>
      </c>
      <c r="O715" s="57"/>
      <c r="P715" s="40"/>
      <c r="Q715" s="60" t="str">
        <f>IF($D715="","",IF($K715&lt;&gt;"Balance Sheet / Clearing","-",IF(SUMPRODUCT(--(LEFT('7. Settlements'!$J$8:$J$107,7)=$A715),--('7. Settlements'!$M$8:$M$107="Tied out"))+SUMPRODUCT(--(LEFT('8. Transfers'!$H$9:$H$108,7)=$A715),--('8. Transfers'!$J$9:$J$108="Matched"))+SUMPRODUCT(--(LEFT('8. Transfers'!$I$9:$I$108,7)=$A715),--('8. Transfers'!$J$9:$J$108="Matched"))+IF($O715="",0,COUNTIFS('9. Payroll Allocation'!$B$234:$B$253,$O715,'9. Payroll Allocation'!$H$234:$H$253,"Tied out"))&gt;0,"Linked","MISSING DETAIL")))</f>
        <v/>
      </c>
      <c r="T715" s="58" t="str">
        <f t="shared" si="106"/>
        <v/>
      </c>
      <c r="U715" s="59" t="str">
        <f>IF($T715="","",COUNTIF($T$6:$T715,"?*"))</f>
        <v/>
      </c>
      <c r="V715" s="58" t="str">
        <f t="shared" si="107"/>
        <v/>
      </c>
    </row>
    <row r="716" spans="1:22" ht="12.95" customHeight="1" x14ac:dyDescent="0.25">
      <c r="A716" s="52" t="str">
        <f t="shared" si="99"/>
        <v/>
      </c>
      <c r="B716" s="37"/>
      <c r="C716" s="28"/>
      <c r="D716" s="35"/>
      <c r="E716" s="38"/>
      <c r="F716" s="38"/>
      <c r="G716" s="52" t="str">
        <f t="shared" si="100"/>
        <v/>
      </c>
      <c r="H716" s="53" t="str">
        <f t="shared" si="101"/>
        <v/>
      </c>
      <c r="I716" s="40"/>
      <c r="J716" s="54" t="str">
        <f t="shared" si="102"/>
        <v/>
      </c>
      <c r="K716" s="41" t="str">
        <f t="shared" si="103"/>
        <v/>
      </c>
      <c r="L716" s="55"/>
      <c r="M716" s="56">
        <f t="shared" si="104"/>
        <v>0</v>
      </c>
      <c r="N716" s="56">
        <f t="shared" si="105"/>
        <v>0</v>
      </c>
      <c r="O716" s="57"/>
      <c r="P716" s="40"/>
      <c r="Q716" s="52" t="str">
        <f>IF($D716="","",IF($K716&lt;&gt;"Balance Sheet / Clearing","-",IF(SUMPRODUCT(--(LEFT('7. Settlements'!$J$8:$J$107,7)=$A716),--('7. Settlements'!$M$8:$M$107="Tied out"))+SUMPRODUCT(--(LEFT('8. Transfers'!$H$9:$H$108,7)=$A716),--('8. Transfers'!$J$9:$J$108="Matched"))+SUMPRODUCT(--(LEFT('8. Transfers'!$I$9:$I$108,7)=$A716),--('8. Transfers'!$J$9:$J$108="Matched"))+IF($O716="",0,COUNTIFS('9. Payroll Allocation'!$B$234:$B$253,$O716,'9. Payroll Allocation'!$H$234:$H$253,"Tied out"))&gt;0,"Linked","MISSING DETAIL")))</f>
        <v/>
      </c>
      <c r="T716" s="58" t="str">
        <f t="shared" si="106"/>
        <v/>
      </c>
      <c r="U716" s="59" t="str">
        <f>IF($T716="","",COUNTIF($T$6:$T716,"?*"))</f>
        <v/>
      </c>
      <c r="V716" s="58" t="str">
        <f t="shared" si="107"/>
        <v/>
      </c>
    </row>
    <row r="717" spans="1:22" ht="12.95" customHeight="1" x14ac:dyDescent="0.25">
      <c r="A717" s="60" t="str">
        <f t="shared" si="99"/>
        <v/>
      </c>
      <c r="B717" s="37"/>
      <c r="C717" s="28"/>
      <c r="D717" s="35"/>
      <c r="E717" s="38"/>
      <c r="F717" s="38"/>
      <c r="G717" s="60" t="str">
        <f t="shared" si="100"/>
        <v/>
      </c>
      <c r="H717" s="61" t="str">
        <f t="shared" si="101"/>
        <v/>
      </c>
      <c r="I717" s="40"/>
      <c r="J717" s="62" t="str">
        <f t="shared" si="102"/>
        <v/>
      </c>
      <c r="K717" s="45" t="str">
        <f t="shared" si="103"/>
        <v/>
      </c>
      <c r="L717" s="55"/>
      <c r="M717" s="63">
        <f t="shared" si="104"/>
        <v>0</v>
      </c>
      <c r="N717" s="63">
        <f t="shared" si="105"/>
        <v>0</v>
      </c>
      <c r="O717" s="57"/>
      <c r="P717" s="40"/>
      <c r="Q717" s="60" t="str">
        <f>IF($D717="","",IF($K717&lt;&gt;"Balance Sheet / Clearing","-",IF(SUMPRODUCT(--(LEFT('7. Settlements'!$J$8:$J$107,7)=$A717),--('7. Settlements'!$M$8:$M$107="Tied out"))+SUMPRODUCT(--(LEFT('8. Transfers'!$H$9:$H$108,7)=$A717),--('8. Transfers'!$J$9:$J$108="Matched"))+SUMPRODUCT(--(LEFT('8. Transfers'!$I$9:$I$108,7)=$A717),--('8. Transfers'!$J$9:$J$108="Matched"))+IF($O717="",0,COUNTIFS('9. Payroll Allocation'!$B$234:$B$253,$O717,'9. Payroll Allocation'!$H$234:$H$253,"Tied out"))&gt;0,"Linked","MISSING DETAIL")))</f>
        <v/>
      </c>
      <c r="T717" s="58" t="str">
        <f t="shared" si="106"/>
        <v/>
      </c>
      <c r="U717" s="59" t="str">
        <f>IF($T717="","",COUNTIF($T$6:$T717,"?*"))</f>
        <v/>
      </c>
      <c r="V717" s="58" t="str">
        <f t="shared" si="107"/>
        <v/>
      </c>
    </row>
    <row r="718" spans="1:22" ht="12.95" customHeight="1" x14ac:dyDescent="0.25">
      <c r="A718" s="52" t="str">
        <f t="shared" si="99"/>
        <v/>
      </c>
      <c r="B718" s="37"/>
      <c r="C718" s="28"/>
      <c r="D718" s="35"/>
      <c r="E718" s="38"/>
      <c r="F718" s="38"/>
      <c r="G718" s="52" t="str">
        <f t="shared" si="100"/>
        <v/>
      </c>
      <c r="H718" s="53" t="str">
        <f t="shared" si="101"/>
        <v/>
      </c>
      <c r="I718" s="40"/>
      <c r="J718" s="54" t="str">
        <f t="shared" si="102"/>
        <v/>
      </c>
      <c r="K718" s="41" t="str">
        <f t="shared" si="103"/>
        <v/>
      </c>
      <c r="L718" s="55"/>
      <c r="M718" s="56">
        <f t="shared" si="104"/>
        <v>0</v>
      </c>
      <c r="N718" s="56">
        <f t="shared" si="105"/>
        <v>0</v>
      </c>
      <c r="O718" s="57"/>
      <c r="P718" s="40"/>
      <c r="Q718" s="52" t="str">
        <f>IF($D718="","",IF($K718&lt;&gt;"Balance Sheet / Clearing","-",IF(SUMPRODUCT(--(LEFT('7. Settlements'!$J$8:$J$107,7)=$A718),--('7. Settlements'!$M$8:$M$107="Tied out"))+SUMPRODUCT(--(LEFT('8. Transfers'!$H$9:$H$108,7)=$A718),--('8. Transfers'!$J$9:$J$108="Matched"))+SUMPRODUCT(--(LEFT('8. Transfers'!$I$9:$I$108,7)=$A718),--('8. Transfers'!$J$9:$J$108="Matched"))+IF($O718="",0,COUNTIFS('9. Payroll Allocation'!$B$234:$B$253,$O718,'9. Payroll Allocation'!$H$234:$H$253,"Tied out"))&gt;0,"Linked","MISSING DETAIL")))</f>
        <v/>
      </c>
      <c r="T718" s="58" t="str">
        <f t="shared" si="106"/>
        <v/>
      </c>
      <c r="U718" s="59" t="str">
        <f>IF($T718="","",COUNTIF($T$6:$T718,"?*"))</f>
        <v/>
      </c>
      <c r="V718" s="58" t="str">
        <f t="shared" si="107"/>
        <v/>
      </c>
    </row>
    <row r="719" spans="1:22" ht="12.95" customHeight="1" x14ac:dyDescent="0.25">
      <c r="A719" s="60" t="str">
        <f t="shared" si="99"/>
        <v/>
      </c>
      <c r="B719" s="37"/>
      <c r="C719" s="28"/>
      <c r="D719" s="35"/>
      <c r="E719" s="38"/>
      <c r="F719" s="38"/>
      <c r="G719" s="60" t="str">
        <f t="shared" si="100"/>
        <v/>
      </c>
      <c r="H719" s="61" t="str">
        <f t="shared" si="101"/>
        <v/>
      </c>
      <c r="I719" s="40"/>
      <c r="J719" s="62" t="str">
        <f t="shared" si="102"/>
        <v/>
      </c>
      <c r="K719" s="45" t="str">
        <f t="shared" si="103"/>
        <v/>
      </c>
      <c r="L719" s="55"/>
      <c r="M719" s="63">
        <f t="shared" si="104"/>
        <v>0</v>
      </c>
      <c r="N719" s="63">
        <f t="shared" si="105"/>
        <v>0</v>
      </c>
      <c r="O719" s="57"/>
      <c r="P719" s="40"/>
      <c r="Q719" s="60" t="str">
        <f>IF($D719="","",IF($K719&lt;&gt;"Balance Sheet / Clearing","-",IF(SUMPRODUCT(--(LEFT('7. Settlements'!$J$8:$J$107,7)=$A719),--('7. Settlements'!$M$8:$M$107="Tied out"))+SUMPRODUCT(--(LEFT('8. Transfers'!$H$9:$H$108,7)=$A719),--('8. Transfers'!$J$9:$J$108="Matched"))+SUMPRODUCT(--(LEFT('8. Transfers'!$I$9:$I$108,7)=$A719),--('8. Transfers'!$J$9:$J$108="Matched"))+IF($O719="",0,COUNTIFS('9. Payroll Allocation'!$B$234:$B$253,$O719,'9. Payroll Allocation'!$H$234:$H$253,"Tied out"))&gt;0,"Linked","MISSING DETAIL")))</f>
        <v/>
      </c>
      <c r="T719" s="58" t="str">
        <f t="shared" si="106"/>
        <v/>
      </c>
      <c r="U719" s="59" t="str">
        <f>IF($T719="","",COUNTIF($T$6:$T719,"?*"))</f>
        <v/>
      </c>
      <c r="V719" s="58" t="str">
        <f t="shared" si="107"/>
        <v/>
      </c>
    </row>
    <row r="720" spans="1:22" ht="12.95" customHeight="1" x14ac:dyDescent="0.25">
      <c r="A720" s="52" t="str">
        <f t="shared" si="99"/>
        <v/>
      </c>
      <c r="B720" s="37"/>
      <c r="C720" s="28"/>
      <c r="D720" s="35"/>
      <c r="E720" s="38"/>
      <c r="F720" s="38"/>
      <c r="G720" s="52" t="str">
        <f t="shared" si="100"/>
        <v/>
      </c>
      <c r="H720" s="53" t="str">
        <f t="shared" si="101"/>
        <v/>
      </c>
      <c r="I720" s="40"/>
      <c r="J720" s="54" t="str">
        <f t="shared" si="102"/>
        <v/>
      </c>
      <c r="K720" s="41" t="str">
        <f t="shared" si="103"/>
        <v/>
      </c>
      <c r="L720" s="55"/>
      <c r="M720" s="56">
        <f t="shared" si="104"/>
        <v>0</v>
      </c>
      <c r="N720" s="56">
        <f t="shared" si="105"/>
        <v>0</v>
      </c>
      <c r="O720" s="57"/>
      <c r="P720" s="40"/>
      <c r="Q720" s="52" t="str">
        <f>IF($D720="","",IF($K720&lt;&gt;"Balance Sheet / Clearing","-",IF(SUMPRODUCT(--(LEFT('7. Settlements'!$J$8:$J$107,7)=$A720),--('7. Settlements'!$M$8:$M$107="Tied out"))+SUMPRODUCT(--(LEFT('8. Transfers'!$H$9:$H$108,7)=$A720),--('8. Transfers'!$J$9:$J$108="Matched"))+SUMPRODUCT(--(LEFT('8. Transfers'!$I$9:$I$108,7)=$A720),--('8. Transfers'!$J$9:$J$108="Matched"))+IF($O720="",0,COUNTIFS('9. Payroll Allocation'!$B$234:$B$253,$O720,'9. Payroll Allocation'!$H$234:$H$253,"Tied out"))&gt;0,"Linked","MISSING DETAIL")))</f>
        <v/>
      </c>
      <c r="T720" s="58" t="str">
        <f t="shared" si="106"/>
        <v/>
      </c>
      <c r="U720" s="59" t="str">
        <f>IF($T720="","",COUNTIF($T$6:$T720,"?*"))</f>
        <v/>
      </c>
      <c r="V720" s="58" t="str">
        <f t="shared" si="107"/>
        <v/>
      </c>
    </row>
    <row r="721" spans="1:22" ht="12.95" customHeight="1" x14ac:dyDescent="0.25">
      <c r="A721" s="60" t="str">
        <f t="shared" si="99"/>
        <v/>
      </c>
      <c r="B721" s="37"/>
      <c r="C721" s="28"/>
      <c r="D721" s="35"/>
      <c r="E721" s="38"/>
      <c r="F721" s="38"/>
      <c r="G721" s="60" t="str">
        <f t="shared" si="100"/>
        <v/>
      </c>
      <c r="H721" s="61" t="str">
        <f t="shared" si="101"/>
        <v/>
      </c>
      <c r="I721" s="40"/>
      <c r="J721" s="62" t="str">
        <f t="shared" si="102"/>
        <v/>
      </c>
      <c r="K721" s="45" t="str">
        <f t="shared" si="103"/>
        <v/>
      </c>
      <c r="L721" s="55"/>
      <c r="M721" s="63">
        <f t="shared" si="104"/>
        <v>0</v>
      </c>
      <c r="N721" s="63">
        <f t="shared" si="105"/>
        <v>0</v>
      </c>
      <c r="O721" s="57"/>
      <c r="P721" s="40"/>
      <c r="Q721" s="60" t="str">
        <f>IF($D721="","",IF($K721&lt;&gt;"Balance Sheet / Clearing","-",IF(SUMPRODUCT(--(LEFT('7. Settlements'!$J$8:$J$107,7)=$A721),--('7. Settlements'!$M$8:$M$107="Tied out"))+SUMPRODUCT(--(LEFT('8. Transfers'!$H$9:$H$108,7)=$A721),--('8. Transfers'!$J$9:$J$108="Matched"))+SUMPRODUCT(--(LEFT('8. Transfers'!$I$9:$I$108,7)=$A721),--('8. Transfers'!$J$9:$J$108="Matched"))+IF($O721="",0,COUNTIFS('9. Payroll Allocation'!$B$234:$B$253,$O721,'9. Payroll Allocation'!$H$234:$H$253,"Tied out"))&gt;0,"Linked","MISSING DETAIL")))</f>
        <v/>
      </c>
      <c r="T721" s="58" t="str">
        <f t="shared" si="106"/>
        <v/>
      </c>
      <c r="U721" s="59" t="str">
        <f>IF($T721="","",COUNTIF($T$6:$T721,"?*"))</f>
        <v/>
      </c>
      <c r="V721" s="58" t="str">
        <f t="shared" si="107"/>
        <v/>
      </c>
    </row>
    <row r="722" spans="1:22" ht="12.95" customHeight="1" x14ac:dyDescent="0.25">
      <c r="A722" s="52" t="str">
        <f t="shared" si="99"/>
        <v/>
      </c>
      <c r="B722" s="37"/>
      <c r="C722" s="28"/>
      <c r="D722" s="35"/>
      <c r="E722" s="38"/>
      <c r="F722" s="38"/>
      <c r="G722" s="52" t="str">
        <f t="shared" si="100"/>
        <v/>
      </c>
      <c r="H722" s="53" t="str">
        <f t="shared" si="101"/>
        <v/>
      </c>
      <c r="I722" s="40"/>
      <c r="J722" s="54" t="str">
        <f t="shared" si="102"/>
        <v/>
      </c>
      <c r="K722" s="41" t="str">
        <f t="shared" si="103"/>
        <v/>
      </c>
      <c r="L722" s="55"/>
      <c r="M722" s="56">
        <f t="shared" si="104"/>
        <v>0</v>
      </c>
      <c r="N722" s="56">
        <f t="shared" si="105"/>
        <v>0</v>
      </c>
      <c r="O722" s="57"/>
      <c r="P722" s="40"/>
      <c r="Q722" s="52" t="str">
        <f>IF($D722="","",IF($K722&lt;&gt;"Balance Sheet / Clearing","-",IF(SUMPRODUCT(--(LEFT('7. Settlements'!$J$8:$J$107,7)=$A722),--('7. Settlements'!$M$8:$M$107="Tied out"))+SUMPRODUCT(--(LEFT('8. Transfers'!$H$9:$H$108,7)=$A722),--('8. Transfers'!$J$9:$J$108="Matched"))+SUMPRODUCT(--(LEFT('8. Transfers'!$I$9:$I$108,7)=$A722),--('8. Transfers'!$J$9:$J$108="Matched"))+IF($O722="",0,COUNTIFS('9. Payroll Allocation'!$B$234:$B$253,$O722,'9. Payroll Allocation'!$H$234:$H$253,"Tied out"))&gt;0,"Linked","MISSING DETAIL")))</f>
        <v/>
      </c>
      <c r="T722" s="58" t="str">
        <f t="shared" si="106"/>
        <v/>
      </c>
      <c r="U722" s="59" t="str">
        <f>IF($T722="","",COUNTIF($T$6:$T722,"?*"))</f>
        <v/>
      </c>
      <c r="V722" s="58" t="str">
        <f t="shared" si="107"/>
        <v/>
      </c>
    </row>
    <row r="723" spans="1:22" ht="12.95" customHeight="1" x14ac:dyDescent="0.25">
      <c r="A723" s="60" t="str">
        <f t="shared" si="99"/>
        <v/>
      </c>
      <c r="B723" s="37"/>
      <c r="C723" s="28"/>
      <c r="D723" s="35"/>
      <c r="E723" s="38"/>
      <c r="F723" s="38"/>
      <c r="G723" s="60" t="str">
        <f t="shared" si="100"/>
        <v/>
      </c>
      <c r="H723" s="61" t="str">
        <f t="shared" si="101"/>
        <v/>
      </c>
      <c r="I723" s="40"/>
      <c r="J723" s="62" t="str">
        <f t="shared" si="102"/>
        <v/>
      </c>
      <c r="K723" s="45" t="str">
        <f t="shared" si="103"/>
        <v/>
      </c>
      <c r="L723" s="55"/>
      <c r="M723" s="63">
        <f t="shared" si="104"/>
        <v>0</v>
      </c>
      <c r="N723" s="63">
        <f t="shared" si="105"/>
        <v>0</v>
      </c>
      <c r="O723" s="57"/>
      <c r="P723" s="40"/>
      <c r="Q723" s="60" t="str">
        <f>IF($D723="","",IF($K723&lt;&gt;"Balance Sheet / Clearing","-",IF(SUMPRODUCT(--(LEFT('7. Settlements'!$J$8:$J$107,7)=$A723),--('7. Settlements'!$M$8:$M$107="Tied out"))+SUMPRODUCT(--(LEFT('8. Transfers'!$H$9:$H$108,7)=$A723),--('8. Transfers'!$J$9:$J$108="Matched"))+SUMPRODUCT(--(LEFT('8. Transfers'!$I$9:$I$108,7)=$A723),--('8. Transfers'!$J$9:$J$108="Matched"))+IF($O723="",0,COUNTIFS('9. Payroll Allocation'!$B$234:$B$253,$O723,'9. Payroll Allocation'!$H$234:$H$253,"Tied out"))&gt;0,"Linked","MISSING DETAIL")))</f>
        <v/>
      </c>
      <c r="T723" s="58" t="str">
        <f t="shared" si="106"/>
        <v/>
      </c>
      <c r="U723" s="59" t="str">
        <f>IF($T723="","",COUNTIF($T$6:$T723,"?*"))</f>
        <v/>
      </c>
      <c r="V723" s="58" t="str">
        <f t="shared" si="107"/>
        <v/>
      </c>
    </row>
    <row r="724" spans="1:22" ht="12.95" customHeight="1" x14ac:dyDescent="0.25">
      <c r="A724" s="52" t="str">
        <f t="shared" si="99"/>
        <v/>
      </c>
      <c r="B724" s="37"/>
      <c r="C724" s="28"/>
      <c r="D724" s="35"/>
      <c r="E724" s="38"/>
      <c r="F724" s="38"/>
      <c r="G724" s="52" t="str">
        <f t="shared" si="100"/>
        <v/>
      </c>
      <c r="H724" s="53" t="str">
        <f t="shared" si="101"/>
        <v/>
      </c>
      <c r="I724" s="40"/>
      <c r="J724" s="54" t="str">
        <f t="shared" si="102"/>
        <v/>
      </c>
      <c r="K724" s="41" t="str">
        <f t="shared" si="103"/>
        <v/>
      </c>
      <c r="L724" s="55"/>
      <c r="M724" s="56">
        <f t="shared" si="104"/>
        <v>0</v>
      </c>
      <c r="N724" s="56">
        <f t="shared" si="105"/>
        <v>0</v>
      </c>
      <c r="O724" s="57"/>
      <c r="P724" s="40"/>
      <c r="Q724" s="52" t="str">
        <f>IF($D724="","",IF($K724&lt;&gt;"Balance Sheet / Clearing","-",IF(SUMPRODUCT(--(LEFT('7. Settlements'!$J$8:$J$107,7)=$A724),--('7. Settlements'!$M$8:$M$107="Tied out"))+SUMPRODUCT(--(LEFT('8. Transfers'!$H$9:$H$108,7)=$A724),--('8. Transfers'!$J$9:$J$108="Matched"))+SUMPRODUCT(--(LEFT('8. Transfers'!$I$9:$I$108,7)=$A724),--('8. Transfers'!$J$9:$J$108="Matched"))+IF($O724="",0,COUNTIFS('9. Payroll Allocation'!$B$234:$B$253,$O724,'9. Payroll Allocation'!$H$234:$H$253,"Tied out"))&gt;0,"Linked","MISSING DETAIL")))</f>
        <v/>
      </c>
      <c r="T724" s="58" t="str">
        <f t="shared" si="106"/>
        <v/>
      </c>
      <c r="U724" s="59" t="str">
        <f>IF($T724="","",COUNTIF($T$6:$T724,"?*"))</f>
        <v/>
      </c>
      <c r="V724" s="58" t="str">
        <f t="shared" si="107"/>
        <v/>
      </c>
    </row>
    <row r="725" spans="1:22" ht="12.95" customHeight="1" x14ac:dyDescent="0.25">
      <c r="A725" s="60" t="str">
        <f t="shared" si="99"/>
        <v/>
      </c>
      <c r="B725" s="37"/>
      <c r="C725" s="28"/>
      <c r="D725" s="35"/>
      <c r="E725" s="38"/>
      <c r="F725" s="38"/>
      <c r="G725" s="60" t="str">
        <f t="shared" si="100"/>
        <v/>
      </c>
      <c r="H725" s="61" t="str">
        <f t="shared" si="101"/>
        <v/>
      </c>
      <c r="I725" s="40"/>
      <c r="J725" s="62" t="str">
        <f t="shared" si="102"/>
        <v/>
      </c>
      <c r="K725" s="45" t="str">
        <f t="shared" si="103"/>
        <v/>
      </c>
      <c r="L725" s="55"/>
      <c r="M725" s="63">
        <f t="shared" si="104"/>
        <v>0</v>
      </c>
      <c r="N725" s="63">
        <f t="shared" si="105"/>
        <v>0</v>
      </c>
      <c r="O725" s="57"/>
      <c r="P725" s="40"/>
      <c r="Q725" s="60" t="str">
        <f>IF($D725="","",IF($K725&lt;&gt;"Balance Sheet / Clearing","-",IF(SUMPRODUCT(--(LEFT('7. Settlements'!$J$8:$J$107,7)=$A725),--('7. Settlements'!$M$8:$M$107="Tied out"))+SUMPRODUCT(--(LEFT('8. Transfers'!$H$9:$H$108,7)=$A725),--('8. Transfers'!$J$9:$J$108="Matched"))+SUMPRODUCT(--(LEFT('8. Transfers'!$I$9:$I$108,7)=$A725),--('8. Transfers'!$J$9:$J$108="Matched"))+IF($O725="",0,COUNTIFS('9. Payroll Allocation'!$B$234:$B$253,$O725,'9. Payroll Allocation'!$H$234:$H$253,"Tied out"))&gt;0,"Linked","MISSING DETAIL")))</f>
        <v/>
      </c>
      <c r="T725" s="58" t="str">
        <f t="shared" si="106"/>
        <v/>
      </c>
      <c r="U725" s="59" t="str">
        <f>IF($T725="","",COUNTIF($T$6:$T725,"?*"))</f>
        <v/>
      </c>
      <c r="V725" s="58" t="str">
        <f t="shared" si="107"/>
        <v/>
      </c>
    </row>
    <row r="726" spans="1:22" ht="12.95" customHeight="1" x14ac:dyDescent="0.25">
      <c r="A726" s="52" t="str">
        <f t="shared" si="99"/>
        <v/>
      </c>
      <c r="B726" s="37"/>
      <c r="C726" s="28"/>
      <c r="D726" s="35"/>
      <c r="E726" s="38"/>
      <c r="F726" s="38"/>
      <c r="G726" s="52" t="str">
        <f t="shared" si="100"/>
        <v/>
      </c>
      <c r="H726" s="53" t="str">
        <f t="shared" si="101"/>
        <v/>
      </c>
      <c r="I726" s="40"/>
      <c r="J726" s="54" t="str">
        <f t="shared" si="102"/>
        <v/>
      </c>
      <c r="K726" s="41" t="str">
        <f t="shared" si="103"/>
        <v/>
      </c>
      <c r="L726" s="55"/>
      <c r="M726" s="56">
        <f t="shared" si="104"/>
        <v>0</v>
      </c>
      <c r="N726" s="56">
        <f t="shared" si="105"/>
        <v>0</v>
      </c>
      <c r="O726" s="57"/>
      <c r="P726" s="40"/>
      <c r="Q726" s="52" t="str">
        <f>IF($D726="","",IF($K726&lt;&gt;"Balance Sheet / Clearing","-",IF(SUMPRODUCT(--(LEFT('7. Settlements'!$J$8:$J$107,7)=$A726),--('7. Settlements'!$M$8:$M$107="Tied out"))+SUMPRODUCT(--(LEFT('8. Transfers'!$H$9:$H$108,7)=$A726),--('8. Transfers'!$J$9:$J$108="Matched"))+SUMPRODUCT(--(LEFT('8. Transfers'!$I$9:$I$108,7)=$A726),--('8. Transfers'!$J$9:$J$108="Matched"))+IF($O726="",0,COUNTIFS('9. Payroll Allocation'!$B$234:$B$253,$O726,'9. Payroll Allocation'!$H$234:$H$253,"Tied out"))&gt;0,"Linked","MISSING DETAIL")))</f>
        <v/>
      </c>
      <c r="T726" s="58" t="str">
        <f t="shared" si="106"/>
        <v/>
      </c>
      <c r="U726" s="59" t="str">
        <f>IF($T726="","",COUNTIF($T$6:$T726,"?*"))</f>
        <v/>
      </c>
      <c r="V726" s="58" t="str">
        <f t="shared" si="107"/>
        <v/>
      </c>
    </row>
    <row r="727" spans="1:22" ht="12.95" customHeight="1" x14ac:dyDescent="0.25">
      <c r="A727" s="60" t="str">
        <f t="shared" si="99"/>
        <v/>
      </c>
      <c r="B727" s="37"/>
      <c r="C727" s="28"/>
      <c r="D727" s="35"/>
      <c r="E727" s="38"/>
      <c r="F727" s="38"/>
      <c r="G727" s="60" t="str">
        <f t="shared" si="100"/>
        <v/>
      </c>
      <c r="H727" s="61" t="str">
        <f t="shared" si="101"/>
        <v/>
      </c>
      <c r="I727" s="40"/>
      <c r="J727" s="62" t="str">
        <f t="shared" si="102"/>
        <v/>
      </c>
      <c r="K727" s="45" t="str">
        <f t="shared" si="103"/>
        <v/>
      </c>
      <c r="L727" s="55"/>
      <c r="M727" s="63">
        <f t="shared" si="104"/>
        <v>0</v>
      </c>
      <c r="N727" s="63">
        <f t="shared" si="105"/>
        <v>0</v>
      </c>
      <c r="O727" s="57"/>
      <c r="P727" s="40"/>
      <c r="Q727" s="60" t="str">
        <f>IF($D727="","",IF($K727&lt;&gt;"Balance Sheet / Clearing","-",IF(SUMPRODUCT(--(LEFT('7. Settlements'!$J$8:$J$107,7)=$A727),--('7. Settlements'!$M$8:$M$107="Tied out"))+SUMPRODUCT(--(LEFT('8. Transfers'!$H$9:$H$108,7)=$A727),--('8. Transfers'!$J$9:$J$108="Matched"))+SUMPRODUCT(--(LEFT('8. Transfers'!$I$9:$I$108,7)=$A727),--('8. Transfers'!$J$9:$J$108="Matched"))+IF($O727="",0,COUNTIFS('9. Payroll Allocation'!$B$234:$B$253,$O727,'9. Payroll Allocation'!$H$234:$H$253,"Tied out"))&gt;0,"Linked","MISSING DETAIL")))</f>
        <v/>
      </c>
      <c r="T727" s="58" t="str">
        <f t="shared" si="106"/>
        <v/>
      </c>
      <c r="U727" s="59" t="str">
        <f>IF($T727="","",COUNTIF($T$6:$T727,"?*"))</f>
        <v/>
      </c>
      <c r="V727" s="58" t="str">
        <f t="shared" si="107"/>
        <v/>
      </c>
    </row>
    <row r="728" spans="1:22" ht="12.95" customHeight="1" x14ac:dyDescent="0.25">
      <c r="A728" s="52" t="str">
        <f t="shared" si="99"/>
        <v/>
      </c>
      <c r="B728" s="37"/>
      <c r="C728" s="28"/>
      <c r="D728" s="35"/>
      <c r="E728" s="38"/>
      <c r="F728" s="38"/>
      <c r="G728" s="52" t="str">
        <f t="shared" si="100"/>
        <v/>
      </c>
      <c r="H728" s="53" t="str">
        <f t="shared" si="101"/>
        <v/>
      </c>
      <c r="I728" s="40"/>
      <c r="J728" s="54" t="str">
        <f t="shared" si="102"/>
        <v/>
      </c>
      <c r="K728" s="41" t="str">
        <f t="shared" si="103"/>
        <v/>
      </c>
      <c r="L728" s="55"/>
      <c r="M728" s="56">
        <f t="shared" si="104"/>
        <v>0</v>
      </c>
      <c r="N728" s="56">
        <f t="shared" si="105"/>
        <v>0</v>
      </c>
      <c r="O728" s="57"/>
      <c r="P728" s="40"/>
      <c r="Q728" s="52" t="str">
        <f>IF($D728="","",IF($K728&lt;&gt;"Balance Sheet / Clearing","-",IF(SUMPRODUCT(--(LEFT('7. Settlements'!$J$8:$J$107,7)=$A728),--('7. Settlements'!$M$8:$M$107="Tied out"))+SUMPRODUCT(--(LEFT('8. Transfers'!$H$9:$H$108,7)=$A728),--('8. Transfers'!$J$9:$J$108="Matched"))+SUMPRODUCT(--(LEFT('8. Transfers'!$I$9:$I$108,7)=$A728),--('8. Transfers'!$J$9:$J$108="Matched"))+IF($O728="",0,COUNTIFS('9. Payroll Allocation'!$B$234:$B$253,$O728,'9. Payroll Allocation'!$H$234:$H$253,"Tied out"))&gt;0,"Linked","MISSING DETAIL")))</f>
        <v/>
      </c>
      <c r="T728" s="58" t="str">
        <f t="shared" si="106"/>
        <v/>
      </c>
      <c r="U728" s="59" t="str">
        <f>IF($T728="","",COUNTIF($T$6:$T728,"?*"))</f>
        <v/>
      </c>
      <c r="V728" s="58" t="str">
        <f t="shared" si="107"/>
        <v/>
      </c>
    </row>
    <row r="729" spans="1:22" ht="12.95" customHeight="1" x14ac:dyDescent="0.25">
      <c r="A729" s="60" t="str">
        <f t="shared" si="99"/>
        <v/>
      </c>
      <c r="B729" s="37"/>
      <c r="C729" s="28"/>
      <c r="D729" s="35"/>
      <c r="E729" s="38"/>
      <c r="F729" s="38"/>
      <c r="G729" s="60" t="str">
        <f t="shared" si="100"/>
        <v/>
      </c>
      <c r="H729" s="61" t="str">
        <f t="shared" si="101"/>
        <v/>
      </c>
      <c r="I729" s="40"/>
      <c r="J729" s="62" t="str">
        <f t="shared" si="102"/>
        <v/>
      </c>
      <c r="K729" s="45" t="str">
        <f t="shared" si="103"/>
        <v/>
      </c>
      <c r="L729" s="55"/>
      <c r="M729" s="63">
        <f t="shared" si="104"/>
        <v>0</v>
      </c>
      <c r="N729" s="63">
        <f t="shared" si="105"/>
        <v>0</v>
      </c>
      <c r="O729" s="57"/>
      <c r="P729" s="40"/>
      <c r="Q729" s="60" t="str">
        <f>IF($D729="","",IF($K729&lt;&gt;"Balance Sheet / Clearing","-",IF(SUMPRODUCT(--(LEFT('7. Settlements'!$J$8:$J$107,7)=$A729),--('7. Settlements'!$M$8:$M$107="Tied out"))+SUMPRODUCT(--(LEFT('8. Transfers'!$H$9:$H$108,7)=$A729),--('8. Transfers'!$J$9:$J$108="Matched"))+SUMPRODUCT(--(LEFT('8. Transfers'!$I$9:$I$108,7)=$A729),--('8. Transfers'!$J$9:$J$108="Matched"))+IF($O729="",0,COUNTIFS('9. Payroll Allocation'!$B$234:$B$253,$O729,'9. Payroll Allocation'!$H$234:$H$253,"Tied out"))&gt;0,"Linked","MISSING DETAIL")))</f>
        <v/>
      </c>
      <c r="T729" s="58" t="str">
        <f t="shared" si="106"/>
        <v/>
      </c>
      <c r="U729" s="59" t="str">
        <f>IF($T729="","",COUNTIF($T$6:$T729,"?*"))</f>
        <v/>
      </c>
      <c r="V729" s="58" t="str">
        <f t="shared" si="107"/>
        <v/>
      </c>
    </row>
    <row r="730" spans="1:22" ht="12.95" customHeight="1" x14ac:dyDescent="0.25">
      <c r="A730" s="52" t="str">
        <f t="shared" si="99"/>
        <v/>
      </c>
      <c r="B730" s="37"/>
      <c r="C730" s="28"/>
      <c r="D730" s="35"/>
      <c r="E730" s="38"/>
      <c r="F730" s="38"/>
      <c r="G730" s="52" t="str">
        <f t="shared" si="100"/>
        <v/>
      </c>
      <c r="H730" s="53" t="str">
        <f t="shared" si="101"/>
        <v/>
      </c>
      <c r="I730" s="40"/>
      <c r="J730" s="54" t="str">
        <f t="shared" si="102"/>
        <v/>
      </c>
      <c r="K730" s="41" t="str">
        <f t="shared" si="103"/>
        <v/>
      </c>
      <c r="L730" s="55"/>
      <c r="M730" s="56">
        <f t="shared" si="104"/>
        <v>0</v>
      </c>
      <c r="N730" s="56">
        <f t="shared" si="105"/>
        <v>0</v>
      </c>
      <c r="O730" s="57"/>
      <c r="P730" s="40"/>
      <c r="Q730" s="52" t="str">
        <f>IF($D730="","",IF($K730&lt;&gt;"Balance Sheet / Clearing","-",IF(SUMPRODUCT(--(LEFT('7. Settlements'!$J$8:$J$107,7)=$A730),--('7. Settlements'!$M$8:$M$107="Tied out"))+SUMPRODUCT(--(LEFT('8. Transfers'!$H$9:$H$108,7)=$A730),--('8. Transfers'!$J$9:$J$108="Matched"))+SUMPRODUCT(--(LEFT('8. Transfers'!$I$9:$I$108,7)=$A730),--('8. Transfers'!$J$9:$J$108="Matched"))+IF($O730="",0,COUNTIFS('9. Payroll Allocation'!$B$234:$B$253,$O730,'9. Payroll Allocation'!$H$234:$H$253,"Tied out"))&gt;0,"Linked","MISSING DETAIL")))</f>
        <v/>
      </c>
      <c r="T730" s="58" t="str">
        <f t="shared" si="106"/>
        <v/>
      </c>
      <c r="U730" s="59" t="str">
        <f>IF($T730="","",COUNTIF($T$6:$T730,"?*"))</f>
        <v/>
      </c>
      <c r="V730" s="58" t="str">
        <f t="shared" si="107"/>
        <v/>
      </c>
    </row>
    <row r="731" spans="1:22" ht="12.95" customHeight="1" x14ac:dyDescent="0.25">
      <c r="A731" s="60" t="str">
        <f t="shared" si="99"/>
        <v/>
      </c>
      <c r="B731" s="37"/>
      <c r="C731" s="28"/>
      <c r="D731" s="35"/>
      <c r="E731" s="38"/>
      <c r="F731" s="38"/>
      <c r="G731" s="60" t="str">
        <f t="shared" si="100"/>
        <v/>
      </c>
      <c r="H731" s="61" t="str">
        <f t="shared" si="101"/>
        <v/>
      </c>
      <c r="I731" s="40"/>
      <c r="J731" s="62" t="str">
        <f t="shared" si="102"/>
        <v/>
      </c>
      <c r="K731" s="45" t="str">
        <f t="shared" si="103"/>
        <v/>
      </c>
      <c r="L731" s="55"/>
      <c r="M731" s="63">
        <f t="shared" si="104"/>
        <v>0</v>
      </c>
      <c r="N731" s="63">
        <f t="shared" si="105"/>
        <v>0</v>
      </c>
      <c r="O731" s="57"/>
      <c r="P731" s="40"/>
      <c r="Q731" s="60" t="str">
        <f>IF($D731="","",IF($K731&lt;&gt;"Balance Sheet / Clearing","-",IF(SUMPRODUCT(--(LEFT('7. Settlements'!$J$8:$J$107,7)=$A731),--('7. Settlements'!$M$8:$M$107="Tied out"))+SUMPRODUCT(--(LEFT('8. Transfers'!$H$9:$H$108,7)=$A731),--('8. Transfers'!$J$9:$J$108="Matched"))+SUMPRODUCT(--(LEFT('8. Transfers'!$I$9:$I$108,7)=$A731),--('8. Transfers'!$J$9:$J$108="Matched"))+IF($O731="",0,COUNTIFS('9. Payroll Allocation'!$B$234:$B$253,$O731,'9. Payroll Allocation'!$H$234:$H$253,"Tied out"))&gt;0,"Linked","MISSING DETAIL")))</f>
        <v/>
      </c>
      <c r="T731" s="58" t="str">
        <f t="shared" si="106"/>
        <v/>
      </c>
      <c r="U731" s="59" t="str">
        <f>IF($T731="","",COUNTIF($T$6:$T731,"?*"))</f>
        <v/>
      </c>
      <c r="V731" s="58" t="str">
        <f t="shared" si="107"/>
        <v/>
      </c>
    </row>
    <row r="732" spans="1:22" ht="12.95" customHeight="1" x14ac:dyDescent="0.25">
      <c r="A732" s="52" t="str">
        <f t="shared" si="99"/>
        <v/>
      </c>
      <c r="B732" s="37"/>
      <c r="C732" s="28"/>
      <c r="D732" s="35"/>
      <c r="E732" s="38"/>
      <c r="F732" s="38"/>
      <c r="G732" s="52" t="str">
        <f t="shared" si="100"/>
        <v/>
      </c>
      <c r="H732" s="53" t="str">
        <f t="shared" si="101"/>
        <v/>
      </c>
      <c r="I732" s="40"/>
      <c r="J732" s="54" t="str">
        <f t="shared" si="102"/>
        <v/>
      </c>
      <c r="K732" s="41" t="str">
        <f t="shared" si="103"/>
        <v/>
      </c>
      <c r="L732" s="55"/>
      <c r="M732" s="56">
        <f t="shared" si="104"/>
        <v>0</v>
      </c>
      <c r="N732" s="56">
        <f t="shared" si="105"/>
        <v>0</v>
      </c>
      <c r="O732" s="57"/>
      <c r="P732" s="40"/>
      <c r="Q732" s="52" t="str">
        <f>IF($D732="","",IF($K732&lt;&gt;"Balance Sheet / Clearing","-",IF(SUMPRODUCT(--(LEFT('7. Settlements'!$J$8:$J$107,7)=$A732),--('7. Settlements'!$M$8:$M$107="Tied out"))+SUMPRODUCT(--(LEFT('8. Transfers'!$H$9:$H$108,7)=$A732),--('8. Transfers'!$J$9:$J$108="Matched"))+SUMPRODUCT(--(LEFT('8. Transfers'!$I$9:$I$108,7)=$A732),--('8. Transfers'!$J$9:$J$108="Matched"))+IF($O732="",0,COUNTIFS('9. Payroll Allocation'!$B$234:$B$253,$O732,'9. Payroll Allocation'!$H$234:$H$253,"Tied out"))&gt;0,"Linked","MISSING DETAIL")))</f>
        <v/>
      </c>
      <c r="T732" s="58" t="str">
        <f t="shared" si="106"/>
        <v/>
      </c>
      <c r="U732" s="59" t="str">
        <f>IF($T732="","",COUNTIF($T$6:$T732,"?*"))</f>
        <v/>
      </c>
      <c r="V732" s="58" t="str">
        <f t="shared" si="107"/>
        <v/>
      </c>
    </row>
    <row r="733" spans="1:22" ht="12.95" customHeight="1" x14ac:dyDescent="0.25">
      <c r="A733" s="60" t="str">
        <f t="shared" si="99"/>
        <v/>
      </c>
      <c r="B733" s="37"/>
      <c r="C733" s="28"/>
      <c r="D733" s="35"/>
      <c r="E733" s="38"/>
      <c r="F733" s="38"/>
      <c r="G733" s="60" t="str">
        <f t="shared" si="100"/>
        <v/>
      </c>
      <c r="H733" s="61" t="str">
        <f t="shared" si="101"/>
        <v/>
      </c>
      <c r="I733" s="40"/>
      <c r="J733" s="62" t="str">
        <f t="shared" si="102"/>
        <v/>
      </c>
      <c r="K733" s="45" t="str">
        <f t="shared" si="103"/>
        <v/>
      </c>
      <c r="L733" s="55"/>
      <c r="M733" s="63">
        <f t="shared" si="104"/>
        <v>0</v>
      </c>
      <c r="N733" s="63">
        <f t="shared" si="105"/>
        <v>0</v>
      </c>
      <c r="O733" s="57"/>
      <c r="P733" s="40"/>
      <c r="Q733" s="60" t="str">
        <f>IF($D733="","",IF($K733&lt;&gt;"Balance Sheet / Clearing","-",IF(SUMPRODUCT(--(LEFT('7. Settlements'!$J$8:$J$107,7)=$A733),--('7. Settlements'!$M$8:$M$107="Tied out"))+SUMPRODUCT(--(LEFT('8. Transfers'!$H$9:$H$108,7)=$A733),--('8. Transfers'!$J$9:$J$108="Matched"))+SUMPRODUCT(--(LEFT('8. Transfers'!$I$9:$I$108,7)=$A733),--('8. Transfers'!$J$9:$J$108="Matched"))+IF($O733="",0,COUNTIFS('9. Payroll Allocation'!$B$234:$B$253,$O733,'9. Payroll Allocation'!$H$234:$H$253,"Tied out"))&gt;0,"Linked","MISSING DETAIL")))</f>
        <v/>
      </c>
      <c r="T733" s="58" t="str">
        <f t="shared" si="106"/>
        <v/>
      </c>
      <c r="U733" s="59" t="str">
        <f>IF($T733="","",COUNTIF($T$6:$T733,"?*"))</f>
        <v/>
      </c>
      <c r="V733" s="58" t="str">
        <f t="shared" si="107"/>
        <v/>
      </c>
    </row>
    <row r="734" spans="1:22" ht="12.95" customHeight="1" x14ac:dyDescent="0.25">
      <c r="A734" s="52" t="str">
        <f t="shared" si="99"/>
        <v/>
      </c>
      <c r="B734" s="37"/>
      <c r="C734" s="28"/>
      <c r="D734" s="35"/>
      <c r="E734" s="38"/>
      <c r="F734" s="38"/>
      <c r="G734" s="52" t="str">
        <f t="shared" si="100"/>
        <v/>
      </c>
      <c r="H734" s="53" t="str">
        <f t="shared" si="101"/>
        <v/>
      </c>
      <c r="I734" s="40"/>
      <c r="J734" s="54" t="str">
        <f t="shared" si="102"/>
        <v/>
      </c>
      <c r="K734" s="41" t="str">
        <f t="shared" si="103"/>
        <v/>
      </c>
      <c r="L734" s="55"/>
      <c r="M734" s="56">
        <f t="shared" si="104"/>
        <v>0</v>
      </c>
      <c r="N734" s="56">
        <f t="shared" si="105"/>
        <v>0</v>
      </c>
      <c r="O734" s="57"/>
      <c r="P734" s="40"/>
      <c r="Q734" s="52" t="str">
        <f>IF($D734="","",IF($K734&lt;&gt;"Balance Sheet / Clearing","-",IF(SUMPRODUCT(--(LEFT('7. Settlements'!$J$8:$J$107,7)=$A734),--('7. Settlements'!$M$8:$M$107="Tied out"))+SUMPRODUCT(--(LEFT('8. Transfers'!$H$9:$H$108,7)=$A734),--('8. Transfers'!$J$9:$J$108="Matched"))+SUMPRODUCT(--(LEFT('8. Transfers'!$I$9:$I$108,7)=$A734),--('8. Transfers'!$J$9:$J$108="Matched"))+IF($O734="",0,COUNTIFS('9. Payroll Allocation'!$B$234:$B$253,$O734,'9. Payroll Allocation'!$H$234:$H$253,"Tied out"))&gt;0,"Linked","MISSING DETAIL")))</f>
        <v/>
      </c>
      <c r="T734" s="58" t="str">
        <f t="shared" si="106"/>
        <v/>
      </c>
      <c r="U734" s="59" t="str">
        <f>IF($T734="","",COUNTIF($T$6:$T734,"?*"))</f>
        <v/>
      </c>
      <c r="V734" s="58" t="str">
        <f t="shared" si="107"/>
        <v/>
      </c>
    </row>
    <row r="735" spans="1:22" ht="12.95" customHeight="1" x14ac:dyDescent="0.25">
      <c r="A735" s="60" t="str">
        <f t="shared" si="99"/>
        <v/>
      </c>
      <c r="B735" s="37"/>
      <c r="C735" s="28"/>
      <c r="D735" s="35"/>
      <c r="E735" s="38"/>
      <c r="F735" s="38"/>
      <c r="G735" s="60" t="str">
        <f t="shared" si="100"/>
        <v/>
      </c>
      <c r="H735" s="61" t="str">
        <f t="shared" si="101"/>
        <v/>
      </c>
      <c r="I735" s="40"/>
      <c r="J735" s="62" t="str">
        <f t="shared" si="102"/>
        <v/>
      </c>
      <c r="K735" s="45" t="str">
        <f t="shared" si="103"/>
        <v/>
      </c>
      <c r="L735" s="55"/>
      <c r="M735" s="63">
        <f t="shared" si="104"/>
        <v>0</v>
      </c>
      <c r="N735" s="63">
        <f t="shared" si="105"/>
        <v>0</v>
      </c>
      <c r="O735" s="57"/>
      <c r="P735" s="40"/>
      <c r="Q735" s="60" t="str">
        <f>IF($D735="","",IF($K735&lt;&gt;"Balance Sheet / Clearing","-",IF(SUMPRODUCT(--(LEFT('7. Settlements'!$J$8:$J$107,7)=$A735),--('7. Settlements'!$M$8:$M$107="Tied out"))+SUMPRODUCT(--(LEFT('8. Transfers'!$H$9:$H$108,7)=$A735),--('8. Transfers'!$J$9:$J$108="Matched"))+SUMPRODUCT(--(LEFT('8. Transfers'!$I$9:$I$108,7)=$A735),--('8. Transfers'!$J$9:$J$108="Matched"))+IF($O735="",0,COUNTIFS('9. Payroll Allocation'!$B$234:$B$253,$O735,'9. Payroll Allocation'!$H$234:$H$253,"Tied out"))&gt;0,"Linked","MISSING DETAIL")))</f>
        <v/>
      </c>
      <c r="T735" s="58" t="str">
        <f t="shared" si="106"/>
        <v/>
      </c>
      <c r="U735" s="59" t="str">
        <f>IF($T735="","",COUNTIF($T$6:$T735,"?*"))</f>
        <v/>
      </c>
      <c r="V735" s="58" t="str">
        <f t="shared" si="107"/>
        <v/>
      </c>
    </row>
    <row r="736" spans="1:22" ht="12.95" customHeight="1" x14ac:dyDescent="0.25">
      <c r="A736" s="52" t="str">
        <f t="shared" si="99"/>
        <v/>
      </c>
      <c r="B736" s="37"/>
      <c r="C736" s="28"/>
      <c r="D736" s="35"/>
      <c r="E736" s="38"/>
      <c r="F736" s="38"/>
      <c r="G736" s="52" t="str">
        <f t="shared" si="100"/>
        <v/>
      </c>
      <c r="H736" s="53" t="str">
        <f t="shared" si="101"/>
        <v/>
      </c>
      <c r="I736" s="40"/>
      <c r="J736" s="54" t="str">
        <f t="shared" si="102"/>
        <v/>
      </c>
      <c r="K736" s="41" t="str">
        <f t="shared" si="103"/>
        <v/>
      </c>
      <c r="L736" s="55"/>
      <c r="M736" s="56">
        <f t="shared" si="104"/>
        <v>0</v>
      </c>
      <c r="N736" s="56">
        <f t="shared" si="105"/>
        <v>0</v>
      </c>
      <c r="O736" s="57"/>
      <c r="P736" s="40"/>
      <c r="Q736" s="52" t="str">
        <f>IF($D736="","",IF($K736&lt;&gt;"Balance Sheet / Clearing","-",IF(SUMPRODUCT(--(LEFT('7. Settlements'!$J$8:$J$107,7)=$A736),--('7. Settlements'!$M$8:$M$107="Tied out"))+SUMPRODUCT(--(LEFT('8. Transfers'!$H$9:$H$108,7)=$A736),--('8. Transfers'!$J$9:$J$108="Matched"))+SUMPRODUCT(--(LEFT('8. Transfers'!$I$9:$I$108,7)=$A736),--('8. Transfers'!$J$9:$J$108="Matched"))+IF($O736="",0,COUNTIFS('9. Payroll Allocation'!$B$234:$B$253,$O736,'9. Payroll Allocation'!$H$234:$H$253,"Tied out"))&gt;0,"Linked","MISSING DETAIL")))</f>
        <v/>
      </c>
      <c r="T736" s="58" t="str">
        <f t="shared" si="106"/>
        <v/>
      </c>
      <c r="U736" s="59" t="str">
        <f>IF($T736="","",COUNTIF($T$6:$T736,"?*"))</f>
        <v/>
      </c>
      <c r="V736" s="58" t="str">
        <f t="shared" si="107"/>
        <v/>
      </c>
    </row>
    <row r="737" spans="1:22" ht="12.95" customHeight="1" x14ac:dyDescent="0.25">
      <c r="A737" s="60" t="str">
        <f t="shared" si="99"/>
        <v/>
      </c>
      <c r="B737" s="37"/>
      <c r="C737" s="28"/>
      <c r="D737" s="35"/>
      <c r="E737" s="38"/>
      <c r="F737" s="38"/>
      <c r="G737" s="60" t="str">
        <f t="shared" si="100"/>
        <v/>
      </c>
      <c r="H737" s="61" t="str">
        <f t="shared" si="101"/>
        <v/>
      </c>
      <c r="I737" s="40"/>
      <c r="J737" s="62" t="str">
        <f t="shared" si="102"/>
        <v/>
      </c>
      <c r="K737" s="45" t="str">
        <f t="shared" si="103"/>
        <v/>
      </c>
      <c r="L737" s="55"/>
      <c r="M737" s="63">
        <f t="shared" si="104"/>
        <v>0</v>
      </c>
      <c r="N737" s="63">
        <f t="shared" si="105"/>
        <v>0</v>
      </c>
      <c r="O737" s="57"/>
      <c r="P737" s="40"/>
      <c r="Q737" s="60" t="str">
        <f>IF($D737="","",IF($K737&lt;&gt;"Balance Sheet / Clearing","-",IF(SUMPRODUCT(--(LEFT('7. Settlements'!$J$8:$J$107,7)=$A737),--('7. Settlements'!$M$8:$M$107="Tied out"))+SUMPRODUCT(--(LEFT('8. Transfers'!$H$9:$H$108,7)=$A737),--('8. Transfers'!$J$9:$J$108="Matched"))+SUMPRODUCT(--(LEFT('8. Transfers'!$I$9:$I$108,7)=$A737),--('8. Transfers'!$J$9:$J$108="Matched"))+IF($O737="",0,COUNTIFS('9. Payroll Allocation'!$B$234:$B$253,$O737,'9. Payroll Allocation'!$H$234:$H$253,"Tied out"))&gt;0,"Linked","MISSING DETAIL")))</f>
        <v/>
      </c>
      <c r="T737" s="58" t="str">
        <f t="shared" si="106"/>
        <v/>
      </c>
      <c r="U737" s="59" t="str">
        <f>IF($T737="","",COUNTIF($T$6:$T737,"?*"))</f>
        <v/>
      </c>
      <c r="V737" s="58" t="str">
        <f t="shared" si="107"/>
        <v/>
      </c>
    </row>
    <row r="738" spans="1:22" ht="12.95" customHeight="1" x14ac:dyDescent="0.25">
      <c r="A738" s="52" t="str">
        <f t="shared" si="99"/>
        <v/>
      </c>
      <c r="B738" s="37"/>
      <c r="C738" s="28"/>
      <c r="D738" s="35"/>
      <c r="E738" s="38"/>
      <c r="F738" s="38"/>
      <c r="G738" s="52" t="str">
        <f t="shared" si="100"/>
        <v/>
      </c>
      <c r="H738" s="53" t="str">
        <f t="shared" si="101"/>
        <v/>
      </c>
      <c r="I738" s="40"/>
      <c r="J738" s="54" t="str">
        <f t="shared" si="102"/>
        <v/>
      </c>
      <c r="K738" s="41" t="str">
        <f t="shared" si="103"/>
        <v/>
      </c>
      <c r="L738" s="55"/>
      <c r="M738" s="56">
        <f t="shared" si="104"/>
        <v>0</v>
      </c>
      <c r="N738" s="56">
        <f t="shared" si="105"/>
        <v>0</v>
      </c>
      <c r="O738" s="57"/>
      <c r="P738" s="40"/>
      <c r="Q738" s="52" t="str">
        <f>IF($D738="","",IF($K738&lt;&gt;"Balance Sheet / Clearing","-",IF(SUMPRODUCT(--(LEFT('7. Settlements'!$J$8:$J$107,7)=$A738),--('7. Settlements'!$M$8:$M$107="Tied out"))+SUMPRODUCT(--(LEFT('8. Transfers'!$H$9:$H$108,7)=$A738),--('8. Transfers'!$J$9:$J$108="Matched"))+SUMPRODUCT(--(LEFT('8. Transfers'!$I$9:$I$108,7)=$A738),--('8. Transfers'!$J$9:$J$108="Matched"))+IF($O738="",0,COUNTIFS('9. Payroll Allocation'!$B$234:$B$253,$O738,'9. Payroll Allocation'!$H$234:$H$253,"Tied out"))&gt;0,"Linked","MISSING DETAIL")))</f>
        <v/>
      </c>
      <c r="T738" s="58" t="str">
        <f t="shared" si="106"/>
        <v/>
      </c>
      <c r="U738" s="59" t="str">
        <f>IF($T738="","",COUNTIF($T$6:$T738,"?*"))</f>
        <v/>
      </c>
      <c r="V738" s="58" t="str">
        <f t="shared" si="107"/>
        <v/>
      </c>
    </row>
    <row r="739" spans="1:22" ht="12.95" customHeight="1" x14ac:dyDescent="0.25">
      <c r="A739" s="60" t="str">
        <f t="shared" si="99"/>
        <v/>
      </c>
      <c r="B739" s="37"/>
      <c r="C739" s="28"/>
      <c r="D739" s="35"/>
      <c r="E739" s="38"/>
      <c r="F739" s="38"/>
      <c r="G739" s="60" t="str">
        <f t="shared" si="100"/>
        <v/>
      </c>
      <c r="H739" s="61" t="str">
        <f t="shared" si="101"/>
        <v/>
      </c>
      <c r="I739" s="40"/>
      <c r="J739" s="62" t="str">
        <f t="shared" si="102"/>
        <v/>
      </c>
      <c r="K739" s="45" t="str">
        <f t="shared" si="103"/>
        <v/>
      </c>
      <c r="L739" s="55"/>
      <c r="M739" s="63">
        <f t="shared" si="104"/>
        <v>0</v>
      </c>
      <c r="N739" s="63">
        <f t="shared" si="105"/>
        <v>0</v>
      </c>
      <c r="O739" s="57"/>
      <c r="P739" s="40"/>
      <c r="Q739" s="60" t="str">
        <f>IF($D739="","",IF($K739&lt;&gt;"Balance Sheet / Clearing","-",IF(SUMPRODUCT(--(LEFT('7. Settlements'!$J$8:$J$107,7)=$A739),--('7. Settlements'!$M$8:$M$107="Tied out"))+SUMPRODUCT(--(LEFT('8. Transfers'!$H$9:$H$108,7)=$A739),--('8. Transfers'!$J$9:$J$108="Matched"))+SUMPRODUCT(--(LEFT('8. Transfers'!$I$9:$I$108,7)=$A739),--('8. Transfers'!$J$9:$J$108="Matched"))+IF($O739="",0,COUNTIFS('9. Payroll Allocation'!$B$234:$B$253,$O739,'9. Payroll Allocation'!$H$234:$H$253,"Tied out"))&gt;0,"Linked","MISSING DETAIL")))</f>
        <v/>
      </c>
      <c r="T739" s="58" t="str">
        <f t="shared" si="106"/>
        <v/>
      </c>
      <c r="U739" s="59" t="str">
        <f>IF($T739="","",COUNTIF($T$6:$T739,"?*"))</f>
        <v/>
      </c>
      <c r="V739" s="58" t="str">
        <f t="shared" si="107"/>
        <v/>
      </c>
    </row>
    <row r="740" spans="1:22" ht="12.95" customHeight="1" x14ac:dyDescent="0.25">
      <c r="A740" s="52" t="str">
        <f t="shared" si="99"/>
        <v/>
      </c>
      <c r="B740" s="37"/>
      <c r="C740" s="28"/>
      <c r="D740" s="35"/>
      <c r="E740" s="38"/>
      <c r="F740" s="38"/>
      <c r="G740" s="52" t="str">
        <f t="shared" si="100"/>
        <v/>
      </c>
      <c r="H740" s="53" t="str">
        <f t="shared" si="101"/>
        <v/>
      </c>
      <c r="I740" s="40"/>
      <c r="J740" s="54" t="str">
        <f t="shared" si="102"/>
        <v/>
      </c>
      <c r="K740" s="41" t="str">
        <f t="shared" si="103"/>
        <v/>
      </c>
      <c r="L740" s="55"/>
      <c r="M740" s="56">
        <f t="shared" si="104"/>
        <v>0</v>
      </c>
      <c r="N740" s="56">
        <f t="shared" si="105"/>
        <v>0</v>
      </c>
      <c r="O740" s="57"/>
      <c r="P740" s="40"/>
      <c r="Q740" s="52" t="str">
        <f>IF($D740="","",IF($K740&lt;&gt;"Balance Sheet / Clearing","-",IF(SUMPRODUCT(--(LEFT('7. Settlements'!$J$8:$J$107,7)=$A740),--('7. Settlements'!$M$8:$M$107="Tied out"))+SUMPRODUCT(--(LEFT('8. Transfers'!$H$9:$H$108,7)=$A740),--('8. Transfers'!$J$9:$J$108="Matched"))+SUMPRODUCT(--(LEFT('8. Transfers'!$I$9:$I$108,7)=$A740),--('8. Transfers'!$J$9:$J$108="Matched"))+IF($O740="",0,COUNTIFS('9. Payroll Allocation'!$B$234:$B$253,$O740,'9. Payroll Allocation'!$H$234:$H$253,"Tied out"))&gt;0,"Linked","MISSING DETAIL")))</f>
        <v/>
      </c>
      <c r="T740" s="58" t="str">
        <f t="shared" si="106"/>
        <v/>
      </c>
      <c r="U740" s="59" t="str">
        <f>IF($T740="","",COUNTIF($T$6:$T740,"?*"))</f>
        <v/>
      </c>
      <c r="V740" s="58" t="str">
        <f t="shared" si="107"/>
        <v/>
      </c>
    </row>
    <row r="741" spans="1:22" ht="12.95" customHeight="1" x14ac:dyDescent="0.25">
      <c r="A741" s="60" t="str">
        <f t="shared" si="99"/>
        <v/>
      </c>
      <c r="B741" s="37"/>
      <c r="C741" s="28"/>
      <c r="D741" s="35"/>
      <c r="E741" s="38"/>
      <c r="F741" s="38"/>
      <c r="G741" s="60" t="str">
        <f t="shared" si="100"/>
        <v/>
      </c>
      <c r="H741" s="61" t="str">
        <f t="shared" si="101"/>
        <v/>
      </c>
      <c r="I741" s="40"/>
      <c r="J741" s="62" t="str">
        <f t="shared" si="102"/>
        <v/>
      </c>
      <c r="K741" s="45" t="str">
        <f t="shared" si="103"/>
        <v/>
      </c>
      <c r="L741" s="55"/>
      <c r="M741" s="63">
        <f t="shared" si="104"/>
        <v>0</v>
      </c>
      <c r="N741" s="63">
        <f t="shared" si="105"/>
        <v>0</v>
      </c>
      <c r="O741" s="57"/>
      <c r="P741" s="40"/>
      <c r="Q741" s="60" t="str">
        <f>IF($D741="","",IF($K741&lt;&gt;"Balance Sheet / Clearing","-",IF(SUMPRODUCT(--(LEFT('7. Settlements'!$J$8:$J$107,7)=$A741),--('7. Settlements'!$M$8:$M$107="Tied out"))+SUMPRODUCT(--(LEFT('8. Transfers'!$H$9:$H$108,7)=$A741),--('8. Transfers'!$J$9:$J$108="Matched"))+SUMPRODUCT(--(LEFT('8. Transfers'!$I$9:$I$108,7)=$A741),--('8. Transfers'!$J$9:$J$108="Matched"))+IF($O741="",0,COUNTIFS('9. Payroll Allocation'!$B$234:$B$253,$O741,'9. Payroll Allocation'!$H$234:$H$253,"Tied out"))&gt;0,"Linked","MISSING DETAIL")))</f>
        <v/>
      </c>
      <c r="T741" s="58" t="str">
        <f t="shared" si="106"/>
        <v/>
      </c>
      <c r="U741" s="59" t="str">
        <f>IF($T741="","",COUNTIF($T$6:$T741,"?*"))</f>
        <v/>
      </c>
      <c r="V741" s="58" t="str">
        <f t="shared" si="107"/>
        <v/>
      </c>
    </row>
    <row r="742" spans="1:22" ht="12.95" customHeight="1" x14ac:dyDescent="0.25">
      <c r="A742" s="52" t="str">
        <f t="shared" si="99"/>
        <v/>
      </c>
      <c r="B742" s="37"/>
      <c r="C742" s="28"/>
      <c r="D742" s="35"/>
      <c r="E742" s="38"/>
      <c r="F742" s="38"/>
      <c r="G742" s="52" t="str">
        <f t="shared" si="100"/>
        <v/>
      </c>
      <c r="H742" s="53" t="str">
        <f t="shared" si="101"/>
        <v/>
      </c>
      <c r="I742" s="40"/>
      <c r="J742" s="54" t="str">
        <f t="shared" si="102"/>
        <v/>
      </c>
      <c r="K742" s="41" t="str">
        <f t="shared" si="103"/>
        <v/>
      </c>
      <c r="L742" s="55"/>
      <c r="M742" s="56">
        <f t="shared" si="104"/>
        <v>0</v>
      </c>
      <c r="N742" s="56">
        <f t="shared" si="105"/>
        <v>0</v>
      </c>
      <c r="O742" s="57"/>
      <c r="P742" s="40"/>
      <c r="Q742" s="52" t="str">
        <f>IF($D742="","",IF($K742&lt;&gt;"Balance Sheet / Clearing","-",IF(SUMPRODUCT(--(LEFT('7. Settlements'!$J$8:$J$107,7)=$A742),--('7. Settlements'!$M$8:$M$107="Tied out"))+SUMPRODUCT(--(LEFT('8. Transfers'!$H$9:$H$108,7)=$A742),--('8. Transfers'!$J$9:$J$108="Matched"))+SUMPRODUCT(--(LEFT('8. Transfers'!$I$9:$I$108,7)=$A742),--('8. Transfers'!$J$9:$J$108="Matched"))+IF($O742="",0,COUNTIFS('9. Payroll Allocation'!$B$234:$B$253,$O742,'9. Payroll Allocation'!$H$234:$H$253,"Tied out"))&gt;0,"Linked","MISSING DETAIL")))</f>
        <v/>
      </c>
      <c r="T742" s="58" t="str">
        <f t="shared" si="106"/>
        <v/>
      </c>
      <c r="U742" s="59" t="str">
        <f>IF($T742="","",COUNTIF($T$6:$T742,"?*"))</f>
        <v/>
      </c>
      <c r="V742" s="58" t="str">
        <f t="shared" si="107"/>
        <v/>
      </c>
    </row>
    <row r="743" spans="1:22" ht="12.95" customHeight="1" x14ac:dyDescent="0.25">
      <c r="A743" s="60" t="str">
        <f t="shared" si="99"/>
        <v/>
      </c>
      <c r="B743" s="37"/>
      <c r="C743" s="28"/>
      <c r="D743" s="35"/>
      <c r="E743" s="38"/>
      <c r="F743" s="38"/>
      <c r="G743" s="60" t="str">
        <f t="shared" si="100"/>
        <v/>
      </c>
      <c r="H743" s="61" t="str">
        <f t="shared" si="101"/>
        <v/>
      </c>
      <c r="I743" s="40"/>
      <c r="J743" s="62" t="str">
        <f t="shared" si="102"/>
        <v/>
      </c>
      <c r="K743" s="45" t="str">
        <f t="shared" si="103"/>
        <v/>
      </c>
      <c r="L743" s="55"/>
      <c r="M743" s="63">
        <f t="shared" si="104"/>
        <v>0</v>
      </c>
      <c r="N743" s="63">
        <f t="shared" si="105"/>
        <v>0</v>
      </c>
      <c r="O743" s="57"/>
      <c r="P743" s="40"/>
      <c r="Q743" s="60" t="str">
        <f>IF($D743="","",IF($K743&lt;&gt;"Balance Sheet / Clearing","-",IF(SUMPRODUCT(--(LEFT('7. Settlements'!$J$8:$J$107,7)=$A743),--('7. Settlements'!$M$8:$M$107="Tied out"))+SUMPRODUCT(--(LEFT('8. Transfers'!$H$9:$H$108,7)=$A743),--('8. Transfers'!$J$9:$J$108="Matched"))+SUMPRODUCT(--(LEFT('8. Transfers'!$I$9:$I$108,7)=$A743),--('8. Transfers'!$J$9:$J$108="Matched"))+IF($O743="",0,COUNTIFS('9. Payroll Allocation'!$B$234:$B$253,$O743,'9. Payroll Allocation'!$H$234:$H$253,"Tied out"))&gt;0,"Linked","MISSING DETAIL")))</f>
        <v/>
      </c>
      <c r="T743" s="58" t="str">
        <f t="shared" si="106"/>
        <v/>
      </c>
      <c r="U743" s="59" t="str">
        <f>IF($T743="","",COUNTIF($T$6:$T743,"?*"))</f>
        <v/>
      </c>
      <c r="V743" s="58" t="str">
        <f t="shared" si="107"/>
        <v/>
      </c>
    </row>
    <row r="744" spans="1:22" ht="12.95" customHeight="1" x14ac:dyDescent="0.25">
      <c r="A744" s="52" t="str">
        <f t="shared" si="99"/>
        <v/>
      </c>
      <c r="B744" s="37"/>
      <c r="C744" s="28"/>
      <c r="D744" s="35"/>
      <c r="E744" s="38"/>
      <c r="F744" s="38"/>
      <c r="G744" s="52" t="str">
        <f t="shared" si="100"/>
        <v/>
      </c>
      <c r="H744" s="53" t="str">
        <f t="shared" si="101"/>
        <v/>
      </c>
      <c r="I744" s="40"/>
      <c r="J744" s="54" t="str">
        <f t="shared" si="102"/>
        <v/>
      </c>
      <c r="K744" s="41" t="str">
        <f t="shared" si="103"/>
        <v/>
      </c>
      <c r="L744" s="55"/>
      <c r="M744" s="56">
        <f t="shared" si="104"/>
        <v>0</v>
      </c>
      <c r="N744" s="56">
        <f t="shared" si="105"/>
        <v>0</v>
      </c>
      <c r="O744" s="57"/>
      <c r="P744" s="40"/>
      <c r="Q744" s="52" t="str">
        <f>IF($D744="","",IF($K744&lt;&gt;"Balance Sheet / Clearing","-",IF(SUMPRODUCT(--(LEFT('7. Settlements'!$J$8:$J$107,7)=$A744),--('7. Settlements'!$M$8:$M$107="Tied out"))+SUMPRODUCT(--(LEFT('8. Transfers'!$H$9:$H$108,7)=$A744),--('8. Transfers'!$J$9:$J$108="Matched"))+SUMPRODUCT(--(LEFT('8. Transfers'!$I$9:$I$108,7)=$A744),--('8. Transfers'!$J$9:$J$108="Matched"))+IF($O744="",0,COUNTIFS('9. Payroll Allocation'!$B$234:$B$253,$O744,'9. Payroll Allocation'!$H$234:$H$253,"Tied out"))&gt;0,"Linked","MISSING DETAIL")))</f>
        <v/>
      </c>
      <c r="T744" s="58" t="str">
        <f t="shared" si="106"/>
        <v/>
      </c>
      <c r="U744" s="59" t="str">
        <f>IF($T744="","",COUNTIF($T$6:$T744,"?*"))</f>
        <v/>
      </c>
      <c r="V744" s="58" t="str">
        <f t="shared" si="107"/>
        <v/>
      </c>
    </row>
    <row r="745" spans="1:22" ht="12.95" customHeight="1" x14ac:dyDescent="0.25">
      <c r="A745" s="60" t="str">
        <f t="shared" si="99"/>
        <v/>
      </c>
      <c r="B745" s="37"/>
      <c r="C745" s="28"/>
      <c r="D745" s="35"/>
      <c r="E745" s="38"/>
      <c r="F745" s="38"/>
      <c r="G745" s="60" t="str">
        <f t="shared" si="100"/>
        <v/>
      </c>
      <c r="H745" s="61" t="str">
        <f t="shared" si="101"/>
        <v/>
      </c>
      <c r="I745" s="40"/>
      <c r="J745" s="62" t="str">
        <f t="shared" si="102"/>
        <v/>
      </c>
      <c r="K745" s="45" t="str">
        <f t="shared" si="103"/>
        <v/>
      </c>
      <c r="L745" s="55"/>
      <c r="M745" s="63">
        <f t="shared" si="104"/>
        <v>0</v>
      </c>
      <c r="N745" s="63">
        <f t="shared" si="105"/>
        <v>0</v>
      </c>
      <c r="O745" s="57"/>
      <c r="P745" s="40"/>
      <c r="Q745" s="60" t="str">
        <f>IF($D745="","",IF($K745&lt;&gt;"Balance Sheet / Clearing","-",IF(SUMPRODUCT(--(LEFT('7. Settlements'!$J$8:$J$107,7)=$A745),--('7. Settlements'!$M$8:$M$107="Tied out"))+SUMPRODUCT(--(LEFT('8. Transfers'!$H$9:$H$108,7)=$A745),--('8. Transfers'!$J$9:$J$108="Matched"))+SUMPRODUCT(--(LEFT('8. Transfers'!$I$9:$I$108,7)=$A745),--('8. Transfers'!$J$9:$J$108="Matched"))+IF($O745="",0,COUNTIFS('9. Payroll Allocation'!$B$234:$B$253,$O745,'9. Payroll Allocation'!$H$234:$H$253,"Tied out"))&gt;0,"Linked","MISSING DETAIL")))</f>
        <v/>
      </c>
      <c r="T745" s="58" t="str">
        <f t="shared" si="106"/>
        <v/>
      </c>
      <c r="U745" s="59" t="str">
        <f>IF($T745="","",COUNTIF($T$6:$T745,"?*"))</f>
        <v/>
      </c>
      <c r="V745" s="58" t="str">
        <f t="shared" si="107"/>
        <v/>
      </c>
    </row>
    <row r="746" spans="1:22" ht="12.95" customHeight="1" x14ac:dyDescent="0.25">
      <c r="A746" s="52" t="str">
        <f t="shared" si="99"/>
        <v/>
      </c>
      <c r="B746" s="37"/>
      <c r="C746" s="28"/>
      <c r="D746" s="35"/>
      <c r="E746" s="38"/>
      <c r="F746" s="38"/>
      <c r="G746" s="52" t="str">
        <f t="shared" si="100"/>
        <v/>
      </c>
      <c r="H746" s="53" t="str">
        <f t="shared" si="101"/>
        <v/>
      </c>
      <c r="I746" s="40"/>
      <c r="J746" s="54" t="str">
        <f t="shared" si="102"/>
        <v/>
      </c>
      <c r="K746" s="41" t="str">
        <f t="shared" si="103"/>
        <v/>
      </c>
      <c r="L746" s="55"/>
      <c r="M746" s="56">
        <f t="shared" si="104"/>
        <v>0</v>
      </c>
      <c r="N746" s="56">
        <f t="shared" si="105"/>
        <v>0</v>
      </c>
      <c r="O746" s="57"/>
      <c r="P746" s="40"/>
      <c r="Q746" s="52" t="str">
        <f>IF($D746="","",IF($K746&lt;&gt;"Balance Sheet / Clearing","-",IF(SUMPRODUCT(--(LEFT('7. Settlements'!$J$8:$J$107,7)=$A746),--('7. Settlements'!$M$8:$M$107="Tied out"))+SUMPRODUCT(--(LEFT('8. Transfers'!$H$9:$H$108,7)=$A746),--('8. Transfers'!$J$9:$J$108="Matched"))+SUMPRODUCT(--(LEFT('8. Transfers'!$I$9:$I$108,7)=$A746),--('8. Transfers'!$J$9:$J$108="Matched"))+IF($O746="",0,COUNTIFS('9. Payroll Allocation'!$B$234:$B$253,$O746,'9. Payroll Allocation'!$H$234:$H$253,"Tied out"))&gt;0,"Linked","MISSING DETAIL")))</f>
        <v/>
      </c>
      <c r="T746" s="58" t="str">
        <f t="shared" si="106"/>
        <v/>
      </c>
      <c r="U746" s="59" t="str">
        <f>IF($T746="","",COUNTIF($T$6:$T746,"?*"))</f>
        <v/>
      </c>
      <c r="V746" s="58" t="str">
        <f t="shared" si="107"/>
        <v/>
      </c>
    </row>
    <row r="747" spans="1:22" ht="12.95" customHeight="1" x14ac:dyDescent="0.25">
      <c r="A747" s="60" t="str">
        <f t="shared" si="99"/>
        <v/>
      </c>
      <c r="B747" s="37"/>
      <c r="C747" s="28"/>
      <c r="D747" s="35"/>
      <c r="E747" s="38"/>
      <c r="F747" s="38"/>
      <c r="G747" s="60" t="str">
        <f t="shared" si="100"/>
        <v/>
      </c>
      <c r="H747" s="61" t="str">
        <f t="shared" si="101"/>
        <v/>
      </c>
      <c r="I747" s="40"/>
      <c r="J747" s="62" t="str">
        <f t="shared" si="102"/>
        <v/>
      </c>
      <c r="K747" s="45" t="str">
        <f t="shared" si="103"/>
        <v/>
      </c>
      <c r="L747" s="55"/>
      <c r="M747" s="63">
        <f t="shared" si="104"/>
        <v>0</v>
      </c>
      <c r="N747" s="63">
        <f t="shared" si="105"/>
        <v>0</v>
      </c>
      <c r="O747" s="57"/>
      <c r="P747" s="40"/>
      <c r="Q747" s="60" t="str">
        <f>IF($D747="","",IF($K747&lt;&gt;"Balance Sheet / Clearing","-",IF(SUMPRODUCT(--(LEFT('7. Settlements'!$J$8:$J$107,7)=$A747),--('7. Settlements'!$M$8:$M$107="Tied out"))+SUMPRODUCT(--(LEFT('8. Transfers'!$H$9:$H$108,7)=$A747),--('8. Transfers'!$J$9:$J$108="Matched"))+SUMPRODUCT(--(LEFT('8. Transfers'!$I$9:$I$108,7)=$A747),--('8. Transfers'!$J$9:$J$108="Matched"))+IF($O747="",0,COUNTIFS('9. Payroll Allocation'!$B$234:$B$253,$O747,'9. Payroll Allocation'!$H$234:$H$253,"Tied out"))&gt;0,"Linked","MISSING DETAIL")))</f>
        <v/>
      </c>
      <c r="T747" s="58" t="str">
        <f t="shared" si="106"/>
        <v/>
      </c>
      <c r="U747" s="59" t="str">
        <f>IF($T747="","",COUNTIF($T$6:$T747,"?*"))</f>
        <v/>
      </c>
      <c r="V747" s="58" t="str">
        <f t="shared" si="107"/>
        <v/>
      </c>
    </row>
    <row r="748" spans="1:22" ht="12.95" customHeight="1" x14ac:dyDescent="0.25">
      <c r="A748" s="52" t="str">
        <f t="shared" si="99"/>
        <v/>
      </c>
      <c r="B748" s="37"/>
      <c r="C748" s="28"/>
      <c r="D748" s="35"/>
      <c r="E748" s="38"/>
      <c r="F748" s="38"/>
      <c r="G748" s="52" t="str">
        <f t="shared" si="100"/>
        <v/>
      </c>
      <c r="H748" s="53" t="str">
        <f t="shared" si="101"/>
        <v/>
      </c>
      <c r="I748" s="40"/>
      <c r="J748" s="54" t="str">
        <f t="shared" si="102"/>
        <v/>
      </c>
      <c r="K748" s="41" t="str">
        <f t="shared" si="103"/>
        <v/>
      </c>
      <c r="L748" s="55"/>
      <c r="M748" s="56">
        <f t="shared" si="104"/>
        <v>0</v>
      </c>
      <c r="N748" s="56">
        <f t="shared" si="105"/>
        <v>0</v>
      </c>
      <c r="O748" s="57"/>
      <c r="P748" s="40"/>
      <c r="Q748" s="52" t="str">
        <f>IF($D748="","",IF($K748&lt;&gt;"Balance Sheet / Clearing","-",IF(SUMPRODUCT(--(LEFT('7. Settlements'!$J$8:$J$107,7)=$A748),--('7. Settlements'!$M$8:$M$107="Tied out"))+SUMPRODUCT(--(LEFT('8. Transfers'!$H$9:$H$108,7)=$A748),--('8. Transfers'!$J$9:$J$108="Matched"))+SUMPRODUCT(--(LEFT('8. Transfers'!$I$9:$I$108,7)=$A748),--('8. Transfers'!$J$9:$J$108="Matched"))+IF($O748="",0,COUNTIFS('9. Payroll Allocation'!$B$234:$B$253,$O748,'9. Payroll Allocation'!$H$234:$H$253,"Tied out"))&gt;0,"Linked","MISSING DETAIL")))</f>
        <v/>
      </c>
      <c r="T748" s="58" t="str">
        <f t="shared" si="106"/>
        <v/>
      </c>
      <c r="U748" s="59" t="str">
        <f>IF($T748="","",COUNTIF($T$6:$T748,"?*"))</f>
        <v/>
      </c>
      <c r="V748" s="58" t="str">
        <f t="shared" si="107"/>
        <v/>
      </c>
    </row>
    <row r="749" spans="1:22" ht="12.95" customHeight="1" x14ac:dyDescent="0.25">
      <c r="A749" s="60" t="str">
        <f t="shared" si="99"/>
        <v/>
      </c>
      <c r="B749" s="37"/>
      <c r="C749" s="28"/>
      <c r="D749" s="35"/>
      <c r="E749" s="38"/>
      <c r="F749" s="38"/>
      <c r="G749" s="60" t="str">
        <f t="shared" si="100"/>
        <v/>
      </c>
      <c r="H749" s="61" t="str">
        <f t="shared" si="101"/>
        <v/>
      </c>
      <c r="I749" s="40"/>
      <c r="J749" s="62" t="str">
        <f t="shared" si="102"/>
        <v/>
      </c>
      <c r="K749" s="45" t="str">
        <f t="shared" si="103"/>
        <v/>
      </c>
      <c r="L749" s="55"/>
      <c r="M749" s="63">
        <f t="shared" si="104"/>
        <v>0</v>
      </c>
      <c r="N749" s="63">
        <f t="shared" si="105"/>
        <v>0</v>
      </c>
      <c r="O749" s="57"/>
      <c r="P749" s="40"/>
      <c r="Q749" s="60" t="str">
        <f>IF($D749="","",IF($K749&lt;&gt;"Balance Sheet / Clearing","-",IF(SUMPRODUCT(--(LEFT('7. Settlements'!$J$8:$J$107,7)=$A749),--('7. Settlements'!$M$8:$M$107="Tied out"))+SUMPRODUCT(--(LEFT('8. Transfers'!$H$9:$H$108,7)=$A749),--('8. Transfers'!$J$9:$J$108="Matched"))+SUMPRODUCT(--(LEFT('8. Transfers'!$I$9:$I$108,7)=$A749),--('8. Transfers'!$J$9:$J$108="Matched"))+IF($O749="",0,COUNTIFS('9. Payroll Allocation'!$B$234:$B$253,$O749,'9. Payroll Allocation'!$H$234:$H$253,"Tied out"))&gt;0,"Linked","MISSING DETAIL")))</f>
        <v/>
      </c>
      <c r="T749" s="58" t="str">
        <f t="shared" si="106"/>
        <v/>
      </c>
      <c r="U749" s="59" t="str">
        <f>IF($T749="","",COUNTIF($T$6:$T749,"?*"))</f>
        <v/>
      </c>
      <c r="V749" s="58" t="str">
        <f t="shared" si="107"/>
        <v/>
      </c>
    </row>
    <row r="750" spans="1:22" ht="12.95" customHeight="1" x14ac:dyDescent="0.25">
      <c r="A750" s="52" t="str">
        <f t="shared" si="99"/>
        <v/>
      </c>
      <c r="B750" s="37"/>
      <c r="C750" s="28"/>
      <c r="D750" s="35"/>
      <c r="E750" s="38"/>
      <c r="F750" s="38"/>
      <c r="G750" s="52" t="str">
        <f t="shared" si="100"/>
        <v/>
      </c>
      <c r="H750" s="53" t="str">
        <f t="shared" si="101"/>
        <v/>
      </c>
      <c r="I750" s="40"/>
      <c r="J750" s="54" t="str">
        <f t="shared" si="102"/>
        <v/>
      </c>
      <c r="K750" s="41" t="str">
        <f t="shared" si="103"/>
        <v/>
      </c>
      <c r="L750" s="55"/>
      <c r="M750" s="56">
        <f t="shared" si="104"/>
        <v>0</v>
      </c>
      <c r="N750" s="56">
        <f t="shared" si="105"/>
        <v>0</v>
      </c>
      <c r="O750" s="57"/>
      <c r="P750" s="40"/>
      <c r="Q750" s="52" t="str">
        <f>IF($D750="","",IF($K750&lt;&gt;"Balance Sheet / Clearing","-",IF(SUMPRODUCT(--(LEFT('7. Settlements'!$J$8:$J$107,7)=$A750),--('7. Settlements'!$M$8:$M$107="Tied out"))+SUMPRODUCT(--(LEFT('8. Transfers'!$H$9:$H$108,7)=$A750),--('8. Transfers'!$J$9:$J$108="Matched"))+SUMPRODUCT(--(LEFT('8. Transfers'!$I$9:$I$108,7)=$A750),--('8. Transfers'!$J$9:$J$108="Matched"))+IF($O750="",0,COUNTIFS('9. Payroll Allocation'!$B$234:$B$253,$O750,'9. Payroll Allocation'!$H$234:$H$253,"Tied out"))&gt;0,"Linked","MISSING DETAIL")))</f>
        <v/>
      </c>
      <c r="T750" s="58" t="str">
        <f t="shared" si="106"/>
        <v/>
      </c>
      <c r="U750" s="59" t="str">
        <f>IF($T750="","",COUNTIF($T$6:$T750,"?*"))</f>
        <v/>
      </c>
      <c r="V750" s="58" t="str">
        <f t="shared" si="107"/>
        <v/>
      </c>
    </row>
    <row r="751" spans="1:22" ht="12.95" customHeight="1" x14ac:dyDescent="0.25">
      <c r="A751" s="60" t="str">
        <f t="shared" si="99"/>
        <v/>
      </c>
      <c r="B751" s="37"/>
      <c r="C751" s="28"/>
      <c r="D751" s="35"/>
      <c r="E751" s="38"/>
      <c r="F751" s="38"/>
      <c r="G751" s="60" t="str">
        <f t="shared" si="100"/>
        <v/>
      </c>
      <c r="H751" s="61" t="str">
        <f t="shared" si="101"/>
        <v/>
      </c>
      <c r="I751" s="40"/>
      <c r="J751" s="62" t="str">
        <f t="shared" si="102"/>
        <v/>
      </c>
      <c r="K751" s="45" t="str">
        <f t="shared" si="103"/>
        <v/>
      </c>
      <c r="L751" s="55"/>
      <c r="M751" s="63">
        <f t="shared" si="104"/>
        <v>0</v>
      </c>
      <c r="N751" s="63">
        <f t="shared" si="105"/>
        <v>0</v>
      </c>
      <c r="O751" s="57"/>
      <c r="P751" s="40"/>
      <c r="Q751" s="60" t="str">
        <f>IF($D751="","",IF($K751&lt;&gt;"Balance Sheet / Clearing","-",IF(SUMPRODUCT(--(LEFT('7. Settlements'!$J$8:$J$107,7)=$A751),--('7. Settlements'!$M$8:$M$107="Tied out"))+SUMPRODUCT(--(LEFT('8. Transfers'!$H$9:$H$108,7)=$A751),--('8. Transfers'!$J$9:$J$108="Matched"))+SUMPRODUCT(--(LEFT('8. Transfers'!$I$9:$I$108,7)=$A751),--('8. Transfers'!$J$9:$J$108="Matched"))+IF($O751="",0,COUNTIFS('9. Payroll Allocation'!$B$234:$B$253,$O751,'9. Payroll Allocation'!$H$234:$H$253,"Tied out"))&gt;0,"Linked","MISSING DETAIL")))</f>
        <v/>
      </c>
      <c r="T751" s="58" t="str">
        <f t="shared" si="106"/>
        <v/>
      </c>
      <c r="U751" s="59" t="str">
        <f>IF($T751="","",COUNTIF($T$6:$T751,"?*"))</f>
        <v/>
      </c>
      <c r="V751" s="58" t="str">
        <f t="shared" si="107"/>
        <v/>
      </c>
    </row>
    <row r="752" spans="1:22" ht="12.95" customHeight="1" x14ac:dyDescent="0.25">
      <c r="A752" s="52" t="str">
        <f t="shared" si="99"/>
        <v/>
      </c>
      <c r="B752" s="37"/>
      <c r="C752" s="28"/>
      <c r="D752" s="35"/>
      <c r="E752" s="38"/>
      <c r="F752" s="38"/>
      <c r="G752" s="52" t="str">
        <f t="shared" si="100"/>
        <v/>
      </c>
      <c r="H752" s="53" t="str">
        <f t="shared" si="101"/>
        <v/>
      </c>
      <c r="I752" s="40"/>
      <c r="J752" s="54" t="str">
        <f t="shared" si="102"/>
        <v/>
      </c>
      <c r="K752" s="41" t="str">
        <f t="shared" si="103"/>
        <v/>
      </c>
      <c r="L752" s="55"/>
      <c r="M752" s="56">
        <f t="shared" si="104"/>
        <v>0</v>
      </c>
      <c r="N752" s="56">
        <f t="shared" si="105"/>
        <v>0</v>
      </c>
      <c r="O752" s="57"/>
      <c r="P752" s="40"/>
      <c r="Q752" s="52" t="str">
        <f>IF($D752="","",IF($K752&lt;&gt;"Balance Sheet / Clearing","-",IF(SUMPRODUCT(--(LEFT('7. Settlements'!$J$8:$J$107,7)=$A752),--('7. Settlements'!$M$8:$M$107="Tied out"))+SUMPRODUCT(--(LEFT('8. Transfers'!$H$9:$H$108,7)=$A752),--('8. Transfers'!$J$9:$J$108="Matched"))+SUMPRODUCT(--(LEFT('8. Transfers'!$I$9:$I$108,7)=$A752),--('8. Transfers'!$J$9:$J$108="Matched"))+IF($O752="",0,COUNTIFS('9. Payroll Allocation'!$B$234:$B$253,$O752,'9. Payroll Allocation'!$H$234:$H$253,"Tied out"))&gt;0,"Linked","MISSING DETAIL")))</f>
        <v/>
      </c>
      <c r="T752" s="58" t="str">
        <f t="shared" si="106"/>
        <v/>
      </c>
      <c r="U752" s="59" t="str">
        <f>IF($T752="","",COUNTIF($T$6:$T752,"?*"))</f>
        <v/>
      </c>
      <c r="V752" s="58" t="str">
        <f t="shared" si="107"/>
        <v/>
      </c>
    </row>
    <row r="753" spans="1:22" ht="12.95" customHeight="1" x14ac:dyDescent="0.25">
      <c r="A753" s="60" t="str">
        <f t="shared" si="99"/>
        <v/>
      </c>
      <c r="B753" s="37"/>
      <c r="C753" s="28"/>
      <c r="D753" s="35"/>
      <c r="E753" s="38"/>
      <c r="F753" s="38"/>
      <c r="G753" s="60" t="str">
        <f t="shared" si="100"/>
        <v/>
      </c>
      <c r="H753" s="61" t="str">
        <f t="shared" si="101"/>
        <v/>
      </c>
      <c r="I753" s="40"/>
      <c r="J753" s="62" t="str">
        <f t="shared" si="102"/>
        <v/>
      </c>
      <c r="K753" s="45" t="str">
        <f t="shared" si="103"/>
        <v/>
      </c>
      <c r="L753" s="55"/>
      <c r="M753" s="63">
        <f t="shared" si="104"/>
        <v>0</v>
      </c>
      <c r="N753" s="63">
        <f t="shared" si="105"/>
        <v>0</v>
      </c>
      <c r="O753" s="57"/>
      <c r="P753" s="40"/>
      <c r="Q753" s="60" t="str">
        <f>IF($D753="","",IF($K753&lt;&gt;"Balance Sheet / Clearing","-",IF(SUMPRODUCT(--(LEFT('7. Settlements'!$J$8:$J$107,7)=$A753),--('7. Settlements'!$M$8:$M$107="Tied out"))+SUMPRODUCT(--(LEFT('8. Transfers'!$H$9:$H$108,7)=$A753),--('8. Transfers'!$J$9:$J$108="Matched"))+SUMPRODUCT(--(LEFT('8. Transfers'!$I$9:$I$108,7)=$A753),--('8. Transfers'!$J$9:$J$108="Matched"))+IF($O753="",0,COUNTIFS('9. Payroll Allocation'!$B$234:$B$253,$O753,'9. Payroll Allocation'!$H$234:$H$253,"Tied out"))&gt;0,"Linked","MISSING DETAIL")))</f>
        <v/>
      </c>
      <c r="T753" s="58" t="str">
        <f t="shared" si="106"/>
        <v/>
      </c>
      <c r="U753" s="59" t="str">
        <f>IF($T753="","",COUNTIF($T$6:$T753,"?*"))</f>
        <v/>
      </c>
      <c r="V753" s="58" t="str">
        <f t="shared" si="107"/>
        <v/>
      </c>
    </row>
    <row r="754" spans="1:22" ht="12.95" customHeight="1" x14ac:dyDescent="0.25">
      <c r="A754" s="52" t="str">
        <f t="shared" si="99"/>
        <v/>
      </c>
      <c r="B754" s="37"/>
      <c r="C754" s="28"/>
      <c r="D754" s="35"/>
      <c r="E754" s="38"/>
      <c r="F754" s="38"/>
      <c r="G754" s="52" t="str">
        <f t="shared" si="100"/>
        <v/>
      </c>
      <c r="H754" s="53" t="str">
        <f t="shared" si="101"/>
        <v/>
      </c>
      <c r="I754" s="40"/>
      <c r="J754" s="54" t="str">
        <f t="shared" si="102"/>
        <v/>
      </c>
      <c r="K754" s="41" t="str">
        <f t="shared" si="103"/>
        <v/>
      </c>
      <c r="L754" s="55"/>
      <c r="M754" s="56">
        <f t="shared" si="104"/>
        <v>0</v>
      </c>
      <c r="N754" s="56">
        <f t="shared" si="105"/>
        <v>0</v>
      </c>
      <c r="O754" s="57"/>
      <c r="P754" s="40"/>
      <c r="Q754" s="52" t="str">
        <f>IF($D754="","",IF($K754&lt;&gt;"Balance Sheet / Clearing","-",IF(SUMPRODUCT(--(LEFT('7. Settlements'!$J$8:$J$107,7)=$A754),--('7. Settlements'!$M$8:$M$107="Tied out"))+SUMPRODUCT(--(LEFT('8. Transfers'!$H$9:$H$108,7)=$A754),--('8. Transfers'!$J$9:$J$108="Matched"))+SUMPRODUCT(--(LEFT('8. Transfers'!$I$9:$I$108,7)=$A754),--('8. Transfers'!$J$9:$J$108="Matched"))+IF($O754="",0,COUNTIFS('9. Payroll Allocation'!$B$234:$B$253,$O754,'9. Payroll Allocation'!$H$234:$H$253,"Tied out"))&gt;0,"Linked","MISSING DETAIL")))</f>
        <v/>
      </c>
      <c r="T754" s="58" t="str">
        <f t="shared" si="106"/>
        <v/>
      </c>
      <c r="U754" s="59" t="str">
        <f>IF($T754="","",COUNTIF($T$6:$T754,"?*"))</f>
        <v/>
      </c>
      <c r="V754" s="58" t="str">
        <f t="shared" si="107"/>
        <v/>
      </c>
    </row>
    <row r="755" spans="1:22" ht="12.95" customHeight="1" x14ac:dyDescent="0.25">
      <c r="A755" s="60" t="str">
        <f t="shared" si="99"/>
        <v/>
      </c>
      <c r="B755" s="37"/>
      <c r="C755" s="28"/>
      <c r="D755" s="35"/>
      <c r="E755" s="38"/>
      <c r="F755" s="38"/>
      <c r="G755" s="60" t="str">
        <f t="shared" si="100"/>
        <v/>
      </c>
      <c r="H755" s="61" t="str">
        <f t="shared" si="101"/>
        <v/>
      </c>
      <c r="I755" s="40"/>
      <c r="J755" s="62" t="str">
        <f t="shared" si="102"/>
        <v/>
      </c>
      <c r="K755" s="45" t="str">
        <f t="shared" si="103"/>
        <v/>
      </c>
      <c r="L755" s="55"/>
      <c r="M755" s="63">
        <f t="shared" si="104"/>
        <v>0</v>
      </c>
      <c r="N755" s="63">
        <f t="shared" si="105"/>
        <v>0</v>
      </c>
      <c r="O755" s="57"/>
      <c r="P755" s="40"/>
      <c r="Q755" s="60" t="str">
        <f>IF($D755="","",IF($K755&lt;&gt;"Balance Sheet / Clearing","-",IF(SUMPRODUCT(--(LEFT('7. Settlements'!$J$8:$J$107,7)=$A755),--('7. Settlements'!$M$8:$M$107="Tied out"))+SUMPRODUCT(--(LEFT('8. Transfers'!$H$9:$H$108,7)=$A755),--('8. Transfers'!$J$9:$J$108="Matched"))+SUMPRODUCT(--(LEFT('8. Transfers'!$I$9:$I$108,7)=$A755),--('8. Transfers'!$J$9:$J$108="Matched"))+IF($O755="",0,COUNTIFS('9. Payroll Allocation'!$B$234:$B$253,$O755,'9. Payroll Allocation'!$H$234:$H$253,"Tied out"))&gt;0,"Linked","MISSING DETAIL")))</f>
        <v/>
      </c>
      <c r="T755" s="58" t="str">
        <f t="shared" si="106"/>
        <v/>
      </c>
      <c r="U755" s="59" t="str">
        <f>IF($T755="","",COUNTIF($T$6:$T755,"?*"))</f>
        <v/>
      </c>
      <c r="V755" s="58" t="str">
        <f t="shared" si="107"/>
        <v/>
      </c>
    </row>
    <row r="756" spans="1:22" ht="12.95" customHeight="1" x14ac:dyDescent="0.25">
      <c r="A756" s="52" t="str">
        <f t="shared" si="99"/>
        <v/>
      </c>
      <c r="B756" s="37"/>
      <c r="C756" s="28"/>
      <c r="D756" s="35"/>
      <c r="E756" s="38"/>
      <c r="F756" s="38"/>
      <c r="G756" s="52" t="str">
        <f t="shared" si="100"/>
        <v/>
      </c>
      <c r="H756" s="53" t="str">
        <f t="shared" si="101"/>
        <v/>
      </c>
      <c r="I756" s="40"/>
      <c r="J756" s="54" t="str">
        <f t="shared" si="102"/>
        <v/>
      </c>
      <c r="K756" s="41" t="str">
        <f t="shared" si="103"/>
        <v/>
      </c>
      <c r="L756" s="55"/>
      <c r="M756" s="56">
        <f t="shared" si="104"/>
        <v>0</v>
      </c>
      <c r="N756" s="56">
        <f t="shared" si="105"/>
        <v>0</v>
      </c>
      <c r="O756" s="57"/>
      <c r="P756" s="40"/>
      <c r="Q756" s="52" t="str">
        <f>IF($D756="","",IF($K756&lt;&gt;"Balance Sheet / Clearing","-",IF(SUMPRODUCT(--(LEFT('7. Settlements'!$J$8:$J$107,7)=$A756),--('7. Settlements'!$M$8:$M$107="Tied out"))+SUMPRODUCT(--(LEFT('8. Transfers'!$H$9:$H$108,7)=$A756),--('8. Transfers'!$J$9:$J$108="Matched"))+SUMPRODUCT(--(LEFT('8. Transfers'!$I$9:$I$108,7)=$A756),--('8. Transfers'!$J$9:$J$108="Matched"))+IF($O756="",0,COUNTIFS('9. Payroll Allocation'!$B$234:$B$253,$O756,'9. Payroll Allocation'!$H$234:$H$253,"Tied out"))&gt;0,"Linked","MISSING DETAIL")))</f>
        <v/>
      </c>
      <c r="T756" s="58" t="str">
        <f t="shared" si="106"/>
        <v/>
      </c>
      <c r="U756" s="59" t="str">
        <f>IF($T756="","",COUNTIF($T$6:$T756,"?*"))</f>
        <v/>
      </c>
      <c r="V756" s="58" t="str">
        <f t="shared" si="107"/>
        <v/>
      </c>
    </row>
    <row r="757" spans="1:22" ht="12.95" customHeight="1" x14ac:dyDescent="0.25">
      <c r="A757" s="60" t="str">
        <f t="shared" si="99"/>
        <v/>
      </c>
      <c r="B757" s="37"/>
      <c r="C757" s="28"/>
      <c r="D757" s="35"/>
      <c r="E757" s="38"/>
      <c r="F757" s="38"/>
      <c r="G757" s="60" t="str">
        <f t="shared" si="100"/>
        <v/>
      </c>
      <c r="H757" s="61" t="str">
        <f t="shared" si="101"/>
        <v/>
      </c>
      <c r="I757" s="40"/>
      <c r="J757" s="62" t="str">
        <f t="shared" si="102"/>
        <v/>
      </c>
      <c r="K757" s="45" t="str">
        <f t="shared" si="103"/>
        <v/>
      </c>
      <c r="L757" s="55"/>
      <c r="M757" s="63">
        <f t="shared" si="104"/>
        <v>0</v>
      </c>
      <c r="N757" s="63">
        <f t="shared" si="105"/>
        <v>0</v>
      </c>
      <c r="O757" s="57"/>
      <c r="P757" s="40"/>
      <c r="Q757" s="60" t="str">
        <f>IF($D757="","",IF($K757&lt;&gt;"Balance Sheet / Clearing","-",IF(SUMPRODUCT(--(LEFT('7. Settlements'!$J$8:$J$107,7)=$A757),--('7. Settlements'!$M$8:$M$107="Tied out"))+SUMPRODUCT(--(LEFT('8. Transfers'!$H$9:$H$108,7)=$A757),--('8. Transfers'!$J$9:$J$108="Matched"))+SUMPRODUCT(--(LEFT('8. Transfers'!$I$9:$I$108,7)=$A757),--('8. Transfers'!$J$9:$J$108="Matched"))+IF($O757="",0,COUNTIFS('9. Payroll Allocation'!$B$234:$B$253,$O757,'9. Payroll Allocation'!$H$234:$H$253,"Tied out"))&gt;0,"Linked","MISSING DETAIL")))</f>
        <v/>
      </c>
      <c r="T757" s="58" t="str">
        <f t="shared" si="106"/>
        <v/>
      </c>
      <c r="U757" s="59" t="str">
        <f>IF($T757="","",COUNTIF($T$6:$T757,"?*"))</f>
        <v/>
      </c>
      <c r="V757" s="58" t="str">
        <f t="shared" si="107"/>
        <v/>
      </c>
    </row>
    <row r="758" spans="1:22" ht="12.95" customHeight="1" x14ac:dyDescent="0.25">
      <c r="A758" s="52" t="str">
        <f t="shared" si="99"/>
        <v/>
      </c>
      <c r="B758" s="37"/>
      <c r="C758" s="28"/>
      <c r="D758" s="35"/>
      <c r="E758" s="38"/>
      <c r="F758" s="38"/>
      <c r="G758" s="52" t="str">
        <f t="shared" si="100"/>
        <v/>
      </c>
      <c r="H758" s="53" t="str">
        <f t="shared" si="101"/>
        <v/>
      </c>
      <c r="I758" s="40"/>
      <c r="J758" s="54" t="str">
        <f t="shared" si="102"/>
        <v/>
      </c>
      <c r="K758" s="41" t="str">
        <f t="shared" si="103"/>
        <v/>
      </c>
      <c r="L758" s="55"/>
      <c r="M758" s="56">
        <f t="shared" si="104"/>
        <v>0</v>
      </c>
      <c r="N758" s="56">
        <f t="shared" si="105"/>
        <v>0</v>
      </c>
      <c r="O758" s="57"/>
      <c r="P758" s="40"/>
      <c r="Q758" s="52" t="str">
        <f>IF($D758="","",IF($K758&lt;&gt;"Balance Sheet / Clearing","-",IF(SUMPRODUCT(--(LEFT('7. Settlements'!$J$8:$J$107,7)=$A758),--('7. Settlements'!$M$8:$M$107="Tied out"))+SUMPRODUCT(--(LEFT('8. Transfers'!$H$9:$H$108,7)=$A758),--('8. Transfers'!$J$9:$J$108="Matched"))+SUMPRODUCT(--(LEFT('8. Transfers'!$I$9:$I$108,7)=$A758),--('8. Transfers'!$J$9:$J$108="Matched"))+IF($O758="",0,COUNTIFS('9. Payroll Allocation'!$B$234:$B$253,$O758,'9. Payroll Allocation'!$H$234:$H$253,"Tied out"))&gt;0,"Linked","MISSING DETAIL")))</f>
        <v/>
      </c>
      <c r="T758" s="58" t="str">
        <f t="shared" si="106"/>
        <v/>
      </c>
      <c r="U758" s="59" t="str">
        <f>IF($T758="","",COUNTIF($T$6:$T758,"?*"))</f>
        <v/>
      </c>
      <c r="V758" s="58" t="str">
        <f t="shared" si="107"/>
        <v/>
      </c>
    </row>
    <row r="759" spans="1:22" ht="12.95" customHeight="1" x14ac:dyDescent="0.25">
      <c r="A759" s="60" t="str">
        <f t="shared" si="99"/>
        <v/>
      </c>
      <c r="B759" s="37"/>
      <c r="C759" s="28"/>
      <c r="D759" s="35"/>
      <c r="E759" s="38"/>
      <c r="F759" s="38"/>
      <c r="G759" s="60" t="str">
        <f t="shared" si="100"/>
        <v/>
      </c>
      <c r="H759" s="61" t="str">
        <f t="shared" si="101"/>
        <v/>
      </c>
      <c r="I759" s="40"/>
      <c r="J759" s="62" t="str">
        <f t="shared" si="102"/>
        <v/>
      </c>
      <c r="K759" s="45" t="str">
        <f t="shared" si="103"/>
        <v/>
      </c>
      <c r="L759" s="55"/>
      <c r="M759" s="63">
        <f t="shared" si="104"/>
        <v>0</v>
      </c>
      <c r="N759" s="63">
        <f t="shared" si="105"/>
        <v>0</v>
      </c>
      <c r="O759" s="57"/>
      <c r="P759" s="40"/>
      <c r="Q759" s="60" t="str">
        <f>IF($D759="","",IF($K759&lt;&gt;"Balance Sheet / Clearing","-",IF(SUMPRODUCT(--(LEFT('7. Settlements'!$J$8:$J$107,7)=$A759),--('7. Settlements'!$M$8:$M$107="Tied out"))+SUMPRODUCT(--(LEFT('8. Transfers'!$H$9:$H$108,7)=$A759),--('8. Transfers'!$J$9:$J$108="Matched"))+SUMPRODUCT(--(LEFT('8. Transfers'!$I$9:$I$108,7)=$A759),--('8. Transfers'!$J$9:$J$108="Matched"))+IF($O759="",0,COUNTIFS('9. Payroll Allocation'!$B$234:$B$253,$O759,'9. Payroll Allocation'!$H$234:$H$253,"Tied out"))&gt;0,"Linked","MISSING DETAIL")))</f>
        <v/>
      </c>
      <c r="T759" s="58" t="str">
        <f t="shared" si="106"/>
        <v/>
      </c>
      <c r="U759" s="59" t="str">
        <f>IF($T759="","",COUNTIF($T$6:$T759,"?*"))</f>
        <v/>
      </c>
      <c r="V759" s="58" t="str">
        <f t="shared" si="107"/>
        <v/>
      </c>
    </row>
    <row r="760" spans="1:22" ht="12.95" customHeight="1" x14ac:dyDescent="0.25">
      <c r="A760" s="52" t="str">
        <f t="shared" si="99"/>
        <v/>
      </c>
      <c r="B760" s="37"/>
      <c r="C760" s="28"/>
      <c r="D760" s="35"/>
      <c r="E760" s="38"/>
      <c r="F760" s="38"/>
      <c r="G760" s="52" t="str">
        <f t="shared" si="100"/>
        <v/>
      </c>
      <c r="H760" s="53" t="str">
        <f t="shared" si="101"/>
        <v/>
      </c>
      <c r="I760" s="40"/>
      <c r="J760" s="54" t="str">
        <f t="shared" si="102"/>
        <v/>
      </c>
      <c r="K760" s="41" t="str">
        <f t="shared" si="103"/>
        <v/>
      </c>
      <c r="L760" s="55"/>
      <c r="M760" s="56">
        <f t="shared" si="104"/>
        <v>0</v>
      </c>
      <c r="N760" s="56">
        <f t="shared" si="105"/>
        <v>0</v>
      </c>
      <c r="O760" s="57"/>
      <c r="P760" s="40"/>
      <c r="Q760" s="52" t="str">
        <f>IF($D760="","",IF($K760&lt;&gt;"Balance Sheet / Clearing","-",IF(SUMPRODUCT(--(LEFT('7. Settlements'!$J$8:$J$107,7)=$A760),--('7. Settlements'!$M$8:$M$107="Tied out"))+SUMPRODUCT(--(LEFT('8. Transfers'!$H$9:$H$108,7)=$A760),--('8. Transfers'!$J$9:$J$108="Matched"))+SUMPRODUCT(--(LEFT('8. Transfers'!$I$9:$I$108,7)=$A760),--('8. Transfers'!$J$9:$J$108="Matched"))+IF($O760="",0,COUNTIFS('9. Payroll Allocation'!$B$234:$B$253,$O760,'9. Payroll Allocation'!$H$234:$H$253,"Tied out"))&gt;0,"Linked","MISSING DETAIL")))</f>
        <v/>
      </c>
      <c r="T760" s="58" t="str">
        <f t="shared" si="106"/>
        <v/>
      </c>
      <c r="U760" s="59" t="str">
        <f>IF($T760="","",COUNTIF($T$6:$T760,"?*"))</f>
        <v/>
      </c>
      <c r="V760" s="58" t="str">
        <f t="shared" si="107"/>
        <v/>
      </c>
    </row>
    <row r="761" spans="1:22" ht="12.95" customHeight="1" x14ac:dyDescent="0.25">
      <c r="A761" s="60" t="str">
        <f t="shared" si="99"/>
        <v/>
      </c>
      <c r="B761" s="37"/>
      <c r="C761" s="28"/>
      <c r="D761" s="35"/>
      <c r="E761" s="38"/>
      <c r="F761" s="38"/>
      <c r="G761" s="60" t="str">
        <f t="shared" si="100"/>
        <v/>
      </c>
      <c r="H761" s="61" t="str">
        <f t="shared" si="101"/>
        <v/>
      </c>
      <c r="I761" s="40"/>
      <c r="J761" s="62" t="str">
        <f t="shared" si="102"/>
        <v/>
      </c>
      <c r="K761" s="45" t="str">
        <f t="shared" si="103"/>
        <v/>
      </c>
      <c r="L761" s="55"/>
      <c r="M761" s="63">
        <f t="shared" si="104"/>
        <v>0</v>
      </c>
      <c r="N761" s="63">
        <f t="shared" si="105"/>
        <v>0</v>
      </c>
      <c r="O761" s="57"/>
      <c r="P761" s="40"/>
      <c r="Q761" s="60" t="str">
        <f>IF($D761="","",IF($K761&lt;&gt;"Balance Sheet / Clearing","-",IF(SUMPRODUCT(--(LEFT('7. Settlements'!$J$8:$J$107,7)=$A761),--('7. Settlements'!$M$8:$M$107="Tied out"))+SUMPRODUCT(--(LEFT('8. Transfers'!$H$9:$H$108,7)=$A761),--('8. Transfers'!$J$9:$J$108="Matched"))+SUMPRODUCT(--(LEFT('8. Transfers'!$I$9:$I$108,7)=$A761),--('8. Transfers'!$J$9:$J$108="Matched"))+IF($O761="",0,COUNTIFS('9. Payroll Allocation'!$B$234:$B$253,$O761,'9. Payroll Allocation'!$H$234:$H$253,"Tied out"))&gt;0,"Linked","MISSING DETAIL")))</f>
        <v/>
      </c>
      <c r="T761" s="58" t="str">
        <f t="shared" si="106"/>
        <v/>
      </c>
      <c r="U761" s="59" t="str">
        <f>IF($T761="","",COUNTIF($T$6:$T761,"?*"))</f>
        <v/>
      </c>
      <c r="V761" s="58" t="str">
        <f t="shared" si="107"/>
        <v/>
      </c>
    </row>
    <row r="762" spans="1:22" ht="12.95" customHeight="1" x14ac:dyDescent="0.25">
      <c r="A762" s="52" t="str">
        <f t="shared" si="99"/>
        <v/>
      </c>
      <c r="B762" s="37"/>
      <c r="C762" s="28"/>
      <c r="D762" s="35"/>
      <c r="E762" s="38"/>
      <c r="F762" s="38"/>
      <c r="G762" s="52" t="str">
        <f t="shared" si="100"/>
        <v/>
      </c>
      <c r="H762" s="53" t="str">
        <f t="shared" si="101"/>
        <v/>
      </c>
      <c r="I762" s="40"/>
      <c r="J762" s="54" t="str">
        <f t="shared" si="102"/>
        <v/>
      </c>
      <c r="K762" s="41" t="str">
        <f t="shared" si="103"/>
        <v/>
      </c>
      <c r="L762" s="55"/>
      <c r="M762" s="56">
        <f t="shared" si="104"/>
        <v>0</v>
      </c>
      <c r="N762" s="56">
        <f t="shared" si="105"/>
        <v>0</v>
      </c>
      <c r="O762" s="57"/>
      <c r="P762" s="40"/>
      <c r="Q762" s="52" t="str">
        <f>IF($D762="","",IF($K762&lt;&gt;"Balance Sheet / Clearing","-",IF(SUMPRODUCT(--(LEFT('7. Settlements'!$J$8:$J$107,7)=$A762),--('7. Settlements'!$M$8:$M$107="Tied out"))+SUMPRODUCT(--(LEFT('8. Transfers'!$H$9:$H$108,7)=$A762),--('8. Transfers'!$J$9:$J$108="Matched"))+SUMPRODUCT(--(LEFT('8. Transfers'!$I$9:$I$108,7)=$A762),--('8. Transfers'!$J$9:$J$108="Matched"))+IF($O762="",0,COUNTIFS('9. Payroll Allocation'!$B$234:$B$253,$O762,'9. Payroll Allocation'!$H$234:$H$253,"Tied out"))&gt;0,"Linked","MISSING DETAIL")))</f>
        <v/>
      </c>
      <c r="T762" s="58" t="str">
        <f t="shared" si="106"/>
        <v/>
      </c>
      <c r="U762" s="59" t="str">
        <f>IF($T762="","",COUNTIF($T$6:$T762,"?*"))</f>
        <v/>
      </c>
      <c r="V762" s="58" t="str">
        <f t="shared" si="107"/>
        <v/>
      </c>
    </row>
    <row r="763" spans="1:22" ht="12.95" customHeight="1" x14ac:dyDescent="0.25">
      <c r="A763" s="60" t="str">
        <f t="shared" si="99"/>
        <v/>
      </c>
      <c r="B763" s="37"/>
      <c r="C763" s="28"/>
      <c r="D763" s="35"/>
      <c r="E763" s="38"/>
      <c r="F763" s="38"/>
      <c r="G763" s="60" t="str">
        <f t="shared" si="100"/>
        <v/>
      </c>
      <c r="H763" s="61" t="str">
        <f t="shared" si="101"/>
        <v/>
      </c>
      <c r="I763" s="40"/>
      <c r="J763" s="62" t="str">
        <f t="shared" si="102"/>
        <v/>
      </c>
      <c r="K763" s="45" t="str">
        <f t="shared" si="103"/>
        <v/>
      </c>
      <c r="L763" s="55"/>
      <c r="M763" s="63">
        <f t="shared" si="104"/>
        <v>0</v>
      </c>
      <c r="N763" s="63">
        <f t="shared" si="105"/>
        <v>0</v>
      </c>
      <c r="O763" s="57"/>
      <c r="P763" s="40"/>
      <c r="Q763" s="60" t="str">
        <f>IF($D763="","",IF($K763&lt;&gt;"Balance Sheet / Clearing","-",IF(SUMPRODUCT(--(LEFT('7. Settlements'!$J$8:$J$107,7)=$A763),--('7. Settlements'!$M$8:$M$107="Tied out"))+SUMPRODUCT(--(LEFT('8. Transfers'!$H$9:$H$108,7)=$A763),--('8. Transfers'!$J$9:$J$108="Matched"))+SUMPRODUCT(--(LEFT('8. Transfers'!$I$9:$I$108,7)=$A763),--('8. Transfers'!$J$9:$J$108="Matched"))+IF($O763="",0,COUNTIFS('9. Payroll Allocation'!$B$234:$B$253,$O763,'9. Payroll Allocation'!$H$234:$H$253,"Tied out"))&gt;0,"Linked","MISSING DETAIL")))</f>
        <v/>
      </c>
      <c r="T763" s="58" t="str">
        <f t="shared" si="106"/>
        <v/>
      </c>
      <c r="U763" s="59" t="str">
        <f>IF($T763="","",COUNTIF($T$6:$T763,"?*"))</f>
        <v/>
      </c>
      <c r="V763" s="58" t="str">
        <f t="shared" si="107"/>
        <v/>
      </c>
    </row>
    <row r="764" spans="1:22" ht="12.95" customHeight="1" x14ac:dyDescent="0.25">
      <c r="A764" s="52" t="str">
        <f t="shared" si="99"/>
        <v/>
      </c>
      <c r="B764" s="37"/>
      <c r="C764" s="28"/>
      <c r="D764" s="35"/>
      <c r="E764" s="38"/>
      <c r="F764" s="38"/>
      <c r="G764" s="52" t="str">
        <f t="shared" si="100"/>
        <v/>
      </c>
      <c r="H764" s="53" t="str">
        <f t="shared" si="101"/>
        <v/>
      </c>
      <c r="I764" s="40"/>
      <c r="J764" s="54" t="str">
        <f t="shared" si="102"/>
        <v/>
      </c>
      <c r="K764" s="41" t="str">
        <f t="shared" si="103"/>
        <v/>
      </c>
      <c r="L764" s="55"/>
      <c r="M764" s="56">
        <f t="shared" si="104"/>
        <v>0</v>
      </c>
      <c r="N764" s="56">
        <f t="shared" si="105"/>
        <v>0</v>
      </c>
      <c r="O764" s="57"/>
      <c r="P764" s="40"/>
      <c r="Q764" s="52" t="str">
        <f>IF($D764="","",IF($K764&lt;&gt;"Balance Sheet / Clearing","-",IF(SUMPRODUCT(--(LEFT('7. Settlements'!$J$8:$J$107,7)=$A764),--('7. Settlements'!$M$8:$M$107="Tied out"))+SUMPRODUCT(--(LEFT('8. Transfers'!$H$9:$H$108,7)=$A764),--('8. Transfers'!$J$9:$J$108="Matched"))+SUMPRODUCT(--(LEFT('8. Transfers'!$I$9:$I$108,7)=$A764),--('8. Transfers'!$J$9:$J$108="Matched"))+IF($O764="",0,COUNTIFS('9. Payroll Allocation'!$B$234:$B$253,$O764,'9. Payroll Allocation'!$H$234:$H$253,"Tied out"))&gt;0,"Linked","MISSING DETAIL")))</f>
        <v/>
      </c>
      <c r="T764" s="58" t="str">
        <f t="shared" si="106"/>
        <v/>
      </c>
      <c r="U764" s="59" t="str">
        <f>IF($T764="","",COUNTIF($T$6:$T764,"?*"))</f>
        <v/>
      </c>
      <c r="V764" s="58" t="str">
        <f t="shared" si="107"/>
        <v/>
      </c>
    </row>
    <row r="765" spans="1:22" ht="12.95" customHeight="1" x14ac:dyDescent="0.25">
      <c r="A765" s="60" t="str">
        <f t="shared" si="99"/>
        <v/>
      </c>
      <c r="B765" s="37"/>
      <c r="C765" s="28"/>
      <c r="D765" s="35"/>
      <c r="E765" s="38"/>
      <c r="F765" s="38"/>
      <c r="G765" s="60" t="str">
        <f t="shared" si="100"/>
        <v/>
      </c>
      <c r="H765" s="61" t="str">
        <f t="shared" si="101"/>
        <v/>
      </c>
      <c r="I765" s="40"/>
      <c r="J765" s="62" t="str">
        <f t="shared" si="102"/>
        <v/>
      </c>
      <c r="K765" s="45" t="str">
        <f t="shared" si="103"/>
        <v/>
      </c>
      <c r="L765" s="55"/>
      <c r="M765" s="63">
        <f t="shared" si="104"/>
        <v>0</v>
      </c>
      <c r="N765" s="63">
        <f t="shared" si="105"/>
        <v>0</v>
      </c>
      <c r="O765" s="57"/>
      <c r="P765" s="40"/>
      <c r="Q765" s="60" t="str">
        <f>IF($D765="","",IF($K765&lt;&gt;"Balance Sheet / Clearing","-",IF(SUMPRODUCT(--(LEFT('7. Settlements'!$J$8:$J$107,7)=$A765),--('7. Settlements'!$M$8:$M$107="Tied out"))+SUMPRODUCT(--(LEFT('8. Transfers'!$H$9:$H$108,7)=$A765),--('8. Transfers'!$J$9:$J$108="Matched"))+SUMPRODUCT(--(LEFT('8. Transfers'!$I$9:$I$108,7)=$A765),--('8. Transfers'!$J$9:$J$108="Matched"))+IF($O765="",0,COUNTIFS('9. Payroll Allocation'!$B$234:$B$253,$O765,'9. Payroll Allocation'!$H$234:$H$253,"Tied out"))&gt;0,"Linked","MISSING DETAIL")))</f>
        <v/>
      </c>
      <c r="T765" s="58" t="str">
        <f t="shared" si="106"/>
        <v/>
      </c>
      <c r="U765" s="59" t="str">
        <f>IF($T765="","",COUNTIF($T$6:$T765,"?*"))</f>
        <v/>
      </c>
      <c r="V765" s="58" t="str">
        <f t="shared" si="107"/>
        <v/>
      </c>
    </row>
    <row r="766" spans="1:22" ht="12.95" customHeight="1" x14ac:dyDescent="0.25">
      <c r="A766" s="52" t="str">
        <f t="shared" si="99"/>
        <v/>
      </c>
      <c r="B766" s="37"/>
      <c r="C766" s="28"/>
      <c r="D766" s="35"/>
      <c r="E766" s="38"/>
      <c r="F766" s="38"/>
      <c r="G766" s="52" t="str">
        <f t="shared" si="100"/>
        <v/>
      </c>
      <c r="H766" s="53" t="str">
        <f t="shared" si="101"/>
        <v/>
      </c>
      <c r="I766" s="40"/>
      <c r="J766" s="54" t="str">
        <f t="shared" si="102"/>
        <v/>
      </c>
      <c r="K766" s="41" t="str">
        <f t="shared" si="103"/>
        <v/>
      </c>
      <c r="L766" s="55"/>
      <c r="M766" s="56">
        <f t="shared" si="104"/>
        <v>0</v>
      </c>
      <c r="N766" s="56">
        <f t="shared" si="105"/>
        <v>0</v>
      </c>
      <c r="O766" s="57"/>
      <c r="P766" s="40"/>
      <c r="Q766" s="52" t="str">
        <f>IF($D766="","",IF($K766&lt;&gt;"Balance Sheet / Clearing","-",IF(SUMPRODUCT(--(LEFT('7. Settlements'!$J$8:$J$107,7)=$A766),--('7. Settlements'!$M$8:$M$107="Tied out"))+SUMPRODUCT(--(LEFT('8. Transfers'!$H$9:$H$108,7)=$A766),--('8. Transfers'!$J$9:$J$108="Matched"))+SUMPRODUCT(--(LEFT('8. Transfers'!$I$9:$I$108,7)=$A766),--('8. Transfers'!$J$9:$J$108="Matched"))+IF($O766="",0,COUNTIFS('9. Payroll Allocation'!$B$234:$B$253,$O766,'9. Payroll Allocation'!$H$234:$H$253,"Tied out"))&gt;0,"Linked","MISSING DETAIL")))</f>
        <v/>
      </c>
      <c r="T766" s="58" t="str">
        <f t="shared" si="106"/>
        <v/>
      </c>
      <c r="U766" s="59" t="str">
        <f>IF($T766="","",COUNTIF($T$6:$T766,"?*"))</f>
        <v/>
      </c>
      <c r="V766" s="58" t="str">
        <f t="shared" si="107"/>
        <v/>
      </c>
    </row>
    <row r="767" spans="1:22" ht="12.95" customHeight="1" x14ac:dyDescent="0.25">
      <c r="A767" s="60" t="str">
        <f t="shared" si="99"/>
        <v/>
      </c>
      <c r="B767" s="37"/>
      <c r="C767" s="28"/>
      <c r="D767" s="35"/>
      <c r="E767" s="38"/>
      <c r="F767" s="38"/>
      <c r="G767" s="60" t="str">
        <f t="shared" si="100"/>
        <v/>
      </c>
      <c r="H767" s="61" t="str">
        <f t="shared" si="101"/>
        <v/>
      </c>
      <c r="I767" s="40"/>
      <c r="J767" s="62" t="str">
        <f t="shared" si="102"/>
        <v/>
      </c>
      <c r="K767" s="45" t="str">
        <f t="shared" si="103"/>
        <v/>
      </c>
      <c r="L767" s="55"/>
      <c r="M767" s="63">
        <f t="shared" si="104"/>
        <v>0</v>
      </c>
      <c r="N767" s="63">
        <f t="shared" si="105"/>
        <v>0</v>
      </c>
      <c r="O767" s="57"/>
      <c r="P767" s="40"/>
      <c r="Q767" s="60" t="str">
        <f>IF($D767="","",IF($K767&lt;&gt;"Balance Sheet / Clearing","-",IF(SUMPRODUCT(--(LEFT('7. Settlements'!$J$8:$J$107,7)=$A767),--('7. Settlements'!$M$8:$M$107="Tied out"))+SUMPRODUCT(--(LEFT('8. Transfers'!$H$9:$H$108,7)=$A767),--('8. Transfers'!$J$9:$J$108="Matched"))+SUMPRODUCT(--(LEFT('8. Transfers'!$I$9:$I$108,7)=$A767),--('8. Transfers'!$J$9:$J$108="Matched"))+IF($O767="",0,COUNTIFS('9. Payroll Allocation'!$B$234:$B$253,$O767,'9. Payroll Allocation'!$H$234:$H$253,"Tied out"))&gt;0,"Linked","MISSING DETAIL")))</f>
        <v/>
      </c>
      <c r="T767" s="58" t="str">
        <f t="shared" si="106"/>
        <v/>
      </c>
      <c r="U767" s="59" t="str">
        <f>IF($T767="","",COUNTIF($T$6:$T767,"?*"))</f>
        <v/>
      </c>
      <c r="V767" s="58" t="str">
        <f t="shared" si="107"/>
        <v/>
      </c>
    </row>
    <row r="768" spans="1:22" ht="12.95" customHeight="1" x14ac:dyDescent="0.25">
      <c r="A768" s="52" t="str">
        <f t="shared" si="99"/>
        <v/>
      </c>
      <c r="B768" s="37"/>
      <c r="C768" s="28"/>
      <c r="D768" s="35"/>
      <c r="E768" s="38"/>
      <c r="F768" s="38"/>
      <c r="G768" s="52" t="str">
        <f t="shared" si="100"/>
        <v/>
      </c>
      <c r="H768" s="53" t="str">
        <f t="shared" si="101"/>
        <v/>
      </c>
      <c r="I768" s="40"/>
      <c r="J768" s="54" t="str">
        <f t="shared" si="102"/>
        <v/>
      </c>
      <c r="K768" s="41" t="str">
        <f t="shared" si="103"/>
        <v/>
      </c>
      <c r="L768" s="55"/>
      <c r="M768" s="56">
        <f t="shared" si="104"/>
        <v>0</v>
      </c>
      <c r="N768" s="56">
        <f t="shared" si="105"/>
        <v>0</v>
      </c>
      <c r="O768" s="57"/>
      <c r="P768" s="40"/>
      <c r="Q768" s="52" t="str">
        <f>IF($D768="","",IF($K768&lt;&gt;"Balance Sheet / Clearing","-",IF(SUMPRODUCT(--(LEFT('7. Settlements'!$J$8:$J$107,7)=$A768),--('7. Settlements'!$M$8:$M$107="Tied out"))+SUMPRODUCT(--(LEFT('8. Transfers'!$H$9:$H$108,7)=$A768),--('8. Transfers'!$J$9:$J$108="Matched"))+SUMPRODUCT(--(LEFT('8. Transfers'!$I$9:$I$108,7)=$A768),--('8. Transfers'!$J$9:$J$108="Matched"))+IF($O768="",0,COUNTIFS('9. Payroll Allocation'!$B$234:$B$253,$O768,'9. Payroll Allocation'!$H$234:$H$253,"Tied out"))&gt;0,"Linked","MISSING DETAIL")))</f>
        <v/>
      </c>
      <c r="T768" s="58" t="str">
        <f t="shared" si="106"/>
        <v/>
      </c>
      <c r="U768" s="59" t="str">
        <f>IF($T768="","",COUNTIF($T$6:$T768,"?*"))</f>
        <v/>
      </c>
      <c r="V768" s="58" t="str">
        <f t="shared" si="107"/>
        <v/>
      </c>
    </row>
    <row r="769" spans="1:22" ht="12.95" customHeight="1" x14ac:dyDescent="0.25">
      <c r="A769" s="60" t="str">
        <f t="shared" si="99"/>
        <v/>
      </c>
      <c r="B769" s="37"/>
      <c r="C769" s="28"/>
      <c r="D769" s="35"/>
      <c r="E769" s="38"/>
      <c r="F769" s="38"/>
      <c r="G769" s="60" t="str">
        <f t="shared" si="100"/>
        <v/>
      </c>
      <c r="H769" s="61" t="str">
        <f t="shared" si="101"/>
        <v/>
      </c>
      <c r="I769" s="40"/>
      <c r="J769" s="62" t="str">
        <f t="shared" si="102"/>
        <v/>
      </c>
      <c r="K769" s="45" t="str">
        <f t="shared" si="103"/>
        <v/>
      </c>
      <c r="L769" s="55"/>
      <c r="M769" s="63">
        <f t="shared" si="104"/>
        <v>0</v>
      </c>
      <c r="N769" s="63">
        <f t="shared" si="105"/>
        <v>0</v>
      </c>
      <c r="O769" s="57"/>
      <c r="P769" s="40"/>
      <c r="Q769" s="60" t="str">
        <f>IF($D769="","",IF($K769&lt;&gt;"Balance Sheet / Clearing","-",IF(SUMPRODUCT(--(LEFT('7. Settlements'!$J$8:$J$107,7)=$A769),--('7. Settlements'!$M$8:$M$107="Tied out"))+SUMPRODUCT(--(LEFT('8. Transfers'!$H$9:$H$108,7)=$A769),--('8. Transfers'!$J$9:$J$108="Matched"))+SUMPRODUCT(--(LEFT('8. Transfers'!$I$9:$I$108,7)=$A769),--('8. Transfers'!$J$9:$J$108="Matched"))+IF($O769="",0,COUNTIFS('9. Payroll Allocation'!$B$234:$B$253,$O769,'9. Payroll Allocation'!$H$234:$H$253,"Tied out"))&gt;0,"Linked","MISSING DETAIL")))</f>
        <v/>
      </c>
      <c r="T769" s="58" t="str">
        <f t="shared" si="106"/>
        <v/>
      </c>
      <c r="U769" s="59" t="str">
        <f>IF($T769="","",COUNTIF($T$6:$T769,"?*"))</f>
        <v/>
      </c>
      <c r="V769" s="58" t="str">
        <f t="shared" si="107"/>
        <v/>
      </c>
    </row>
    <row r="770" spans="1:22" ht="12.95" customHeight="1" x14ac:dyDescent="0.25">
      <c r="A770" s="52" t="str">
        <f t="shared" si="99"/>
        <v/>
      </c>
      <c r="B770" s="37"/>
      <c r="C770" s="28"/>
      <c r="D770" s="35"/>
      <c r="E770" s="38"/>
      <c r="F770" s="38"/>
      <c r="G770" s="52" t="str">
        <f t="shared" si="100"/>
        <v/>
      </c>
      <c r="H770" s="53" t="str">
        <f t="shared" si="101"/>
        <v/>
      </c>
      <c r="I770" s="40"/>
      <c r="J770" s="54" t="str">
        <f t="shared" si="102"/>
        <v/>
      </c>
      <c r="K770" s="41" t="str">
        <f t="shared" si="103"/>
        <v/>
      </c>
      <c r="L770" s="55"/>
      <c r="M770" s="56">
        <f t="shared" si="104"/>
        <v>0</v>
      </c>
      <c r="N770" s="56">
        <f t="shared" si="105"/>
        <v>0</v>
      </c>
      <c r="O770" s="57"/>
      <c r="P770" s="40"/>
      <c r="Q770" s="52" t="str">
        <f>IF($D770="","",IF($K770&lt;&gt;"Balance Sheet / Clearing","-",IF(SUMPRODUCT(--(LEFT('7. Settlements'!$J$8:$J$107,7)=$A770),--('7. Settlements'!$M$8:$M$107="Tied out"))+SUMPRODUCT(--(LEFT('8. Transfers'!$H$9:$H$108,7)=$A770),--('8. Transfers'!$J$9:$J$108="Matched"))+SUMPRODUCT(--(LEFT('8. Transfers'!$I$9:$I$108,7)=$A770),--('8. Transfers'!$J$9:$J$108="Matched"))+IF($O770="",0,COUNTIFS('9. Payroll Allocation'!$B$234:$B$253,$O770,'9. Payroll Allocation'!$H$234:$H$253,"Tied out"))&gt;0,"Linked","MISSING DETAIL")))</f>
        <v/>
      </c>
      <c r="T770" s="58" t="str">
        <f t="shared" si="106"/>
        <v/>
      </c>
      <c r="U770" s="59" t="str">
        <f>IF($T770="","",COUNTIF($T$6:$T770,"?*"))</f>
        <v/>
      </c>
      <c r="V770" s="58" t="str">
        <f t="shared" si="107"/>
        <v/>
      </c>
    </row>
    <row r="771" spans="1:22" ht="12.95" customHeight="1" x14ac:dyDescent="0.25">
      <c r="A771" s="60" t="str">
        <f t="shared" si="99"/>
        <v/>
      </c>
      <c r="B771" s="37"/>
      <c r="C771" s="28"/>
      <c r="D771" s="35"/>
      <c r="E771" s="38"/>
      <c r="F771" s="38"/>
      <c r="G771" s="60" t="str">
        <f t="shared" si="100"/>
        <v/>
      </c>
      <c r="H771" s="61" t="str">
        <f t="shared" si="101"/>
        <v/>
      </c>
      <c r="I771" s="40"/>
      <c r="J771" s="62" t="str">
        <f t="shared" si="102"/>
        <v/>
      </c>
      <c r="K771" s="45" t="str">
        <f t="shared" si="103"/>
        <v/>
      </c>
      <c r="L771" s="55"/>
      <c r="M771" s="63">
        <f t="shared" si="104"/>
        <v>0</v>
      </c>
      <c r="N771" s="63">
        <f t="shared" si="105"/>
        <v>0</v>
      </c>
      <c r="O771" s="57"/>
      <c r="P771" s="40"/>
      <c r="Q771" s="60" t="str">
        <f>IF($D771="","",IF($K771&lt;&gt;"Balance Sheet / Clearing","-",IF(SUMPRODUCT(--(LEFT('7. Settlements'!$J$8:$J$107,7)=$A771),--('7. Settlements'!$M$8:$M$107="Tied out"))+SUMPRODUCT(--(LEFT('8. Transfers'!$H$9:$H$108,7)=$A771),--('8. Transfers'!$J$9:$J$108="Matched"))+SUMPRODUCT(--(LEFT('8. Transfers'!$I$9:$I$108,7)=$A771),--('8. Transfers'!$J$9:$J$108="Matched"))+IF($O771="",0,COUNTIFS('9. Payroll Allocation'!$B$234:$B$253,$O771,'9. Payroll Allocation'!$H$234:$H$253,"Tied out"))&gt;0,"Linked","MISSING DETAIL")))</f>
        <v/>
      </c>
      <c r="T771" s="58" t="str">
        <f t="shared" si="106"/>
        <v/>
      </c>
      <c r="U771" s="59" t="str">
        <f>IF($T771="","",COUNTIF($T$6:$T771,"?*"))</f>
        <v/>
      </c>
      <c r="V771" s="58" t="str">
        <f t="shared" si="107"/>
        <v/>
      </c>
    </row>
    <row r="772" spans="1:22" ht="12.95" customHeight="1" x14ac:dyDescent="0.25">
      <c r="A772" s="52" t="str">
        <f t="shared" si="99"/>
        <v/>
      </c>
      <c r="B772" s="37"/>
      <c r="C772" s="28"/>
      <c r="D772" s="35"/>
      <c r="E772" s="38"/>
      <c r="F772" s="38"/>
      <c r="G772" s="52" t="str">
        <f t="shared" si="100"/>
        <v/>
      </c>
      <c r="H772" s="53" t="str">
        <f t="shared" si="101"/>
        <v/>
      </c>
      <c r="I772" s="40"/>
      <c r="J772" s="54" t="str">
        <f t="shared" si="102"/>
        <v/>
      </c>
      <c r="K772" s="41" t="str">
        <f t="shared" si="103"/>
        <v/>
      </c>
      <c r="L772" s="55"/>
      <c r="M772" s="56">
        <f t="shared" si="104"/>
        <v>0</v>
      </c>
      <c r="N772" s="56">
        <f t="shared" si="105"/>
        <v>0</v>
      </c>
      <c r="O772" s="57"/>
      <c r="P772" s="40"/>
      <c r="Q772" s="52" t="str">
        <f>IF($D772="","",IF($K772&lt;&gt;"Balance Sheet / Clearing","-",IF(SUMPRODUCT(--(LEFT('7. Settlements'!$J$8:$J$107,7)=$A772),--('7. Settlements'!$M$8:$M$107="Tied out"))+SUMPRODUCT(--(LEFT('8. Transfers'!$H$9:$H$108,7)=$A772),--('8. Transfers'!$J$9:$J$108="Matched"))+SUMPRODUCT(--(LEFT('8. Transfers'!$I$9:$I$108,7)=$A772),--('8. Transfers'!$J$9:$J$108="Matched"))+IF($O772="",0,COUNTIFS('9. Payroll Allocation'!$B$234:$B$253,$O772,'9. Payroll Allocation'!$H$234:$H$253,"Tied out"))&gt;0,"Linked","MISSING DETAIL")))</f>
        <v/>
      </c>
      <c r="T772" s="58" t="str">
        <f t="shared" si="106"/>
        <v/>
      </c>
      <c r="U772" s="59" t="str">
        <f>IF($T772="","",COUNTIF($T$6:$T772,"?*"))</f>
        <v/>
      </c>
      <c r="V772" s="58" t="str">
        <f t="shared" si="107"/>
        <v/>
      </c>
    </row>
    <row r="773" spans="1:22" ht="12.95" customHeight="1" x14ac:dyDescent="0.25">
      <c r="A773" s="60" t="str">
        <f t="shared" si="99"/>
        <v/>
      </c>
      <c r="B773" s="37"/>
      <c r="C773" s="28"/>
      <c r="D773" s="35"/>
      <c r="E773" s="38"/>
      <c r="F773" s="38"/>
      <c r="G773" s="60" t="str">
        <f t="shared" si="100"/>
        <v/>
      </c>
      <c r="H773" s="61" t="str">
        <f t="shared" si="101"/>
        <v/>
      </c>
      <c r="I773" s="40"/>
      <c r="J773" s="62" t="str">
        <f t="shared" si="102"/>
        <v/>
      </c>
      <c r="K773" s="45" t="str">
        <f t="shared" si="103"/>
        <v/>
      </c>
      <c r="L773" s="55"/>
      <c r="M773" s="63">
        <f t="shared" si="104"/>
        <v>0</v>
      </c>
      <c r="N773" s="63">
        <f t="shared" si="105"/>
        <v>0</v>
      </c>
      <c r="O773" s="57"/>
      <c r="P773" s="40"/>
      <c r="Q773" s="60" t="str">
        <f>IF($D773="","",IF($K773&lt;&gt;"Balance Sheet / Clearing","-",IF(SUMPRODUCT(--(LEFT('7. Settlements'!$J$8:$J$107,7)=$A773),--('7. Settlements'!$M$8:$M$107="Tied out"))+SUMPRODUCT(--(LEFT('8. Transfers'!$H$9:$H$108,7)=$A773),--('8. Transfers'!$J$9:$J$108="Matched"))+SUMPRODUCT(--(LEFT('8. Transfers'!$I$9:$I$108,7)=$A773),--('8. Transfers'!$J$9:$J$108="Matched"))+IF($O773="",0,COUNTIFS('9. Payroll Allocation'!$B$234:$B$253,$O773,'9. Payroll Allocation'!$H$234:$H$253,"Tied out"))&gt;0,"Linked","MISSING DETAIL")))</f>
        <v/>
      </c>
      <c r="T773" s="58" t="str">
        <f t="shared" si="106"/>
        <v/>
      </c>
      <c r="U773" s="59" t="str">
        <f>IF($T773="","",COUNTIF($T$6:$T773,"?*"))</f>
        <v/>
      </c>
      <c r="V773" s="58" t="str">
        <f t="shared" si="107"/>
        <v/>
      </c>
    </row>
    <row r="774" spans="1:22" ht="12.95" customHeight="1" x14ac:dyDescent="0.25">
      <c r="A774" s="52" t="str">
        <f t="shared" ref="A774:A837" si="108">IF($D774="","","TX-"&amp;TEXT(ROW()-5,"0000"))</f>
        <v/>
      </c>
      <c r="B774" s="37"/>
      <c r="C774" s="28"/>
      <c r="D774" s="35"/>
      <c r="E774" s="38"/>
      <c r="F774" s="38"/>
      <c r="G774" s="52" t="str">
        <f t="shared" ref="G774:G837" si="109">IF($D774="","",IFERROR(_xlfn.AGGREGATE(15,6,Rules_Pri/((ISNUMBER(SEARCH(Rules_Key,$D774)))*(Rules_Key&lt;&gt;"")*(Rules_Active="Yes")*((Rules_Dir="Any")+(Rules_Dir=IF(N($E774)&gt;0,"In","Out")))),1),""))</f>
        <v/>
      </c>
      <c r="H774" s="53" t="str">
        <f t="shared" ref="H774:H837" si="110">IF($D774="","",IF($G774="",IF(N($E774)&gt;0,"Uncategorized Deposit - NEEDS REVIEW","Uncategorized - NEEDS REVIEW"),INDEX(Rules_Cat,MATCH(1,INDEX(((ISNUMBER(SEARCH(Rules_Key,$D774)))*(Rules_Key&lt;&gt;"")*(Rules_Active="Yes")*((Rules_Dir="Any")+(Rules_Dir=IF(N($E774)&gt;0,"In","Out"))))*(Rules_Pri=$G774),0),0))))</f>
        <v/>
      </c>
      <c r="I774" s="40"/>
      <c r="J774" s="54" t="str">
        <f t="shared" ref="J774:J837" si="111">IF($D774="","",IF($I774&lt;&gt;"",$I774,$H774))</f>
        <v/>
      </c>
      <c r="K774" s="41" t="str">
        <f t="shared" ref="K774:K837" si="112">IF($J774="","",IFERROR(INDEX(Cat_Treatment,MATCH($J774,Cat_Name,0)),"Review Required"))</f>
        <v/>
      </c>
      <c r="L774" s="55"/>
      <c r="M774" s="56">
        <f t="shared" ref="M774:M837" si="113">IF($K774&lt;&gt;"Operating Expense",0,IF(AND($L774&lt;&gt;"",OR(N($L774)&lt;0,N($L774)&gt;1)),0,ROUND(N($F774)*IF($L774="",1,$L774),2)))</f>
        <v>0</v>
      </c>
      <c r="N774" s="56">
        <f t="shared" ref="N774:N837" si="114">IF($K774="Operating Revenue",ROUND(N($E774)-N($F774),2),0)</f>
        <v>0</v>
      </c>
      <c r="O774" s="57"/>
      <c r="P774" s="40"/>
      <c r="Q774" s="52" t="str">
        <f>IF($D774="","",IF($K774&lt;&gt;"Balance Sheet / Clearing","-",IF(SUMPRODUCT(--(LEFT('7. Settlements'!$J$8:$J$107,7)=$A774),--('7. Settlements'!$M$8:$M$107="Tied out"))+SUMPRODUCT(--(LEFT('8. Transfers'!$H$9:$H$108,7)=$A774),--('8. Transfers'!$J$9:$J$108="Matched"))+SUMPRODUCT(--(LEFT('8. Transfers'!$I$9:$I$108,7)=$A774),--('8. Transfers'!$J$9:$J$108="Matched"))+IF($O774="",0,COUNTIFS('9. Payroll Allocation'!$B$234:$B$253,$O774,'9. Payroll Allocation'!$H$234:$H$253,"Tied out"))&gt;0,"Linked","MISSING DETAIL")))</f>
        <v/>
      </c>
      <c r="T774" s="58" t="str">
        <f t="shared" ref="T774:T837" si="115">IF(OR($D774="",$K774&lt;&gt;"Balance Sheet / Clearing"),"",$A774&amp;" · "&amp;TEXT($B774,"mm/dd")&amp;" · "&amp;LEFT($D774,24)&amp;" · "&amp;TEXT(N($E774)+N($F774),"#,##0.00"))</f>
        <v/>
      </c>
      <c r="U774" s="59" t="str">
        <f>IF($T774="","",COUNTIF($T$6:$T774,"?*"))</f>
        <v/>
      </c>
      <c r="V774" s="58" t="str">
        <f t="shared" ref="V774:V837" si="116">IFERROR(INDEX($T$6:$T$1005,MATCH(ROW()-5,$U$6:$U$1005,0)),"")</f>
        <v/>
      </c>
    </row>
    <row r="775" spans="1:22" ht="12.95" customHeight="1" x14ac:dyDescent="0.25">
      <c r="A775" s="60" t="str">
        <f t="shared" si="108"/>
        <v/>
      </c>
      <c r="B775" s="37"/>
      <c r="C775" s="28"/>
      <c r="D775" s="35"/>
      <c r="E775" s="38"/>
      <c r="F775" s="38"/>
      <c r="G775" s="60" t="str">
        <f t="shared" si="109"/>
        <v/>
      </c>
      <c r="H775" s="61" t="str">
        <f t="shared" si="110"/>
        <v/>
      </c>
      <c r="I775" s="40"/>
      <c r="J775" s="62" t="str">
        <f t="shared" si="111"/>
        <v/>
      </c>
      <c r="K775" s="45" t="str">
        <f t="shared" si="112"/>
        <v/>
      </c>
      <c r="L775" s="55"/>
      <c r="M775" s="63">
        <f t="shared" si="113"/>
        <v>0</v>
      </c>
      <c r="N775" s="63">
        <f t="shared" si="114"/>
        <v>0</v>
      </c>
      <c r="O775" s="57"/>
      <c r="P775" s="40"/>
      <c r="Q775" s="60" t="str">
        <f>IF($D775="","",IF($K775&lt;&gt;"Balance Sheet / Clearing","-",IF(SUMPRODUCT(--(LEFT('7. Settlements'!$J$8:$J$107,7)=$A775),--('7. Settlements'!$M$8:$M$107="Tied out"))+SUMPRODUCT(--(LEFT('8. Transfers'!$H$9:$H$108,7)=$A775),--('8. Transfers'!$J$9:$J$108="Matched"))+SUMPRODUCT(--(LEFT('8. Transfers'!$I$9:$I$108,7)=$A775),--('8. Transfers'!$J$9:$J$108="Matched"))+IF($O775="",0,COUNTIFS('9. Payroll Allocation'!$B$234:$B$253,$O775,'9. Payroll Allocation'!$H$234:$H$253,"Tied out"))&gt;0,"Linked","MISSING DETAIL")))</f>
        <v/>
      </c>
      <c r="T775" s="58" t="str">
        <f t="shared" si="115"/>
        <v/>
      </c>
      <c r="U775" s="59" t="str">
        <f>IF($T775="","",COUNTIF($T$6:$T775,"?*"))</f>
        <v/>
      </c>
      <c r="V775" s="58" t="str">
        <f t="shared" si="116"/>
        <v/>
      </c>
    </row>
    <row r="776" spans="1:22" ht="12.95" customHeight="1" x14ac:dyDescent="0.25">
      <c r="A776" s="52" t="str">
        <f t="shared" si="108"/>
        <v/>
      </c>
      <c r="B776" s="37"/>
      <c r="C776" s="28"/>
      <c r="D776" s="35"/>
      <c r="E776" s="38"/>
      <c r="F776" s="38"/>
      <c r="G776" s="52" t="str">
        <f t="shared" si="109"/>
        <v/>
      </c>
      <c r="H776" s="53" t="str">
        <f t="shared" si="110"/>
        <v/>
      </c>
      <c r="I776" s="40"/>
      <c r="J776" s="54" t="str">
        <f t="shared" si="111"/>
        <v/>
      </c>
      <c r="K776" s="41" t="str">
        <f t="shared" si="112"/>
        <v/>
      </c>
      <c r="L776" s="55"/>
      <c r="M776" s="56">
        <f t="shared" si="113"/>
        <v>0</v>
      </c>
      <c r="N776" s="56">
        <f t="shared" si="114"/>
        <v>0</v>
      </c>
      <c r="O776" s="57"/>
      <c r="P776" s="40"/>
      <c r="Q776" s="52" t="str">
        <f>IF($D776="","",IF($K776&lt;&gt;"Balance Sheet / Clearing","-",IF(SUMPRODUCT(--(LEFT('7. Settlements'!$J$8:$J$107,7)=$A776),--('7. Settlements'!$M$8:$M$107="Tied out"))+SUMPRODUCT(--(LEFT('8. Transfers'!$H$9:$H$108,7)=$A776),--('8. Transfers'!$J$9:$J$108="Matched"))+SUMPRODUCT(--(LEFT('8. Transfers'!$I$9:$I$108,7)=$A776),--('8. Transfers'!$J$9:$J$108="Matched"))+IF($O776="",0,COUNTIFS('9. Payroll Allocation'!$B$234:$B$253,$O776,'9. Payroll Allocation'!$H$234:$H$253,"Tied out"))&gt;0,"Linked","MISSING DETAIL")))</f>
        <v/>
      </c>
      <c r="T776" s="58" t="str">
        <f t="shared" si="115"/>
        <v/>
      </c>
      <c r="U776" s="59" t="str">
        <f>IF($T776="","",COUNTIF($T$6:$T776,"?*"))</f>
        <v/>
      </c>
      <c r="V776" s="58" t="str">
        <f t="shared" si="116"/>
        <v/>
      </c>
    </row>
    <row r="777" spans="1:22" ht="12.95" customHeight="1" x14ac:dyDescent="0.25">
      <c r="A777" s="60" t="str">
        <f t="shared" si="108"/>
        <v/>
      </c>
      <c r="B777" s="37"/>
      <c r="C777" s="28"/>
      <c r="D777" s="35"/>
      <c r="E777" s="38"/>
      <c r="F777" s="38"/>
      <c r="G777" s="60" t="str">
        <f t="shared" si="109"/>
        <v/>
      </c>
      <c r="H777" s="61" t="str">
        <f t="shared" si="110"/>
        <v/>
      </c>
      <c r="I777" s="40"/>
      <c r="J777" s="62" t="str">
        <f t="shared" si="111"/>
        <v/>
      </c>
      <c r="K777" s="45" t="str">
        <f t="shared" si="112"/>
        <v/>
      </c>
      <c r="L777" s="55"/>
      <c r="M777" s="63">
        <f t="shared" si="113"/>
        <v>0</v>
      </c>
      <c r="N777" s="63">
        <f t="shared" si="114"/>
        <v>0</v>
      </c>
      <c r="O777" s="57"/>
      <c r="P777" s="40"/>
      <c r="Q777" s="60" t="str">
        <f>IF($D777="","",IF($K777&lt;&gt;"Balance Sheet / Clearing","-",IF(SUMPRODUCT(--(LEFT('7. Settlements'!$J$8:$J$107,7)=$A777),--('7. Settlements'!$M$8:$M$107="Tied out"))+SUMPRODUCT(--(LEFT('8. Transfers'!$H$9:$H$108,7)=$A777),--('8. Transfers'!$J$9:$J$108="Matched"))+SUMPRODUCT(--(LEFT('8. Transfers'!$I$9:$I$108,7)=$A777),--('8. Transfers'!$J$9:$J$108="Matched"))+IF($O777="",0,COUNTIFS('9. Payroll Allocation'!$B$234:$B$253,$O777,'9. Payroll Allocation'!$H$234:$H$253,"Tied out"))&gt;0,"Linked","MISSING DETAIL")))</f>
        <v/>
      </c>
      <c r="T777" s="58" t="str">
        <f t="shared" si="115"/>
        <v/>
      </c>
      <c r="U777" s="59" t="str">
        <f>IF($T777="","",COUNTIF($T$6:$T777,"?*"))</f>
        <v/>
      </c>
      <c r="V777" s="58" t="str">
        <f t="shared" si="116"/>
        <v/>
      </c>
    </row>
    <row r="778" spans="1:22" ht="12.95" customHeight="1" x14ac:dyDescent="0.25">
      <c r="A778" s="52" t="str">
        <f t="shared" si="108"/>
        <v/>
      </c>
      <c r="B778" s="37"/>
      <c r="C778" s="28"/>
      <c r="D778" s="35"/>
      <c r="E778" s="38"/>
      <c r="F778" s="38"/>
      <c r="G778" s="52" t="str">
        <f t="shared" si="109"/>
        <v/>
      </c>
      <c r="H778" s="53" t="str">
        <f t="shared" si="110"/>
        <v/>
      </c>
      <c r="I778" s="40"/>
      <c r="J778" s="54" t="str">
        <f t="shared" si="111"/>
        <v/>
      </c>
      <c r="K778" s="41" t="str">
        <f t="shared" si="112"/>
        <v/>
      </c>
      <c r="L778" s="55"/>
      <c r="M778" s="56">
        <f t="shared" si="113"/>
        <v>0</v>
      </c>
      <c r="N778" s="56">
        <f t="shared" si="114"/>
        <v>0</v>
      </c>
      <c r="O778" s="57"/>
      <c r="P778" s="40"/>
      <c r="Q778" s="52" t="str">
        <f>IF($D778="","",IF($K778&lt;&gt;"Balance Sheet / Clearing","-",IF(SUMPRODUCT(--(LEFT('7. Settlements'!$J$8:$J$107,7)=$A778),--('7. Settlements'!$M$8:$M$107="Tied out"))+SUMPRODUCT(--(LEFT('8. Transfers'!$H$9:$H$108,7)=$A778),--('8. Transfers'!$J$9:$J$108="Matched"))+SUMPRODUCT(--(LEFT('8. Transfers'!$I$9:$I$108,7)=$A778),--('8. Transfers'!$J$9:$J$108="Matched"))+IF($O778="",0,COUNTIFS('9. Payroll Allocation'!$B$234:$B$253,$O778,'9. Payroll Allocation'!$H$234:$H$253,"Tied out"))&gt;0,"Linked","MISSING DETAIL")))</f>
        <v/>
      </c>
      <c r="T778" s="58" t="str">
        <f t="shared" si="115"/>
        <v/>
      </c>
      <c r="U778" s="59" t="str">
        <f>IF($T778="","",COUNTIF($T$6:$T778,"?*"))</f>
        <v/>
      </c>
      <c r="V778" s="58" t="str">
        <f t="shared" si="116"/>
        <v/>
      </c>
    </row>
    <row r="779" spans="1:22" ht="12.95" customHeight="1" x14ac:dyDescent="0.25">
      <c r="A779" s="60" t="str">
        <f t="shared" si="108"/>
        <v/>
      </c>
      <c r="B779" s="37"/>
      <c r="C779" s="28"/>
      <c r="D779" s="35"/>
      <c r="E779" s="38"/>
      <c r="F779" s="38"/>
      <c r="G779" s="60" t="str">
        <f t="shared" si="109"/>
        <v/>
      </c>
      <c r="H779" s="61" t="str">
        <f t="shared" si="110"/>
        <v/>
      </c>
      <c r="I779" s="40"/>
      <c r="J779" s="62" t="str">
        <f t="shared" si="111"/>
        <v/>
      </c>
      <c r="K779" s="45" t="str">
        <f t="shared" si="112"/>
        <v/>
      </c>
      <c r="L779" s="55"/>
      <c r="M779" s="63">
        <f t="shared" si="113"/>
        <v>0</v>
      </c>
      <c r="N779" s="63">
        <f t="shared" si="114"/>
        <v>0</v>
      </c>
      <c r="O779" s="57"/>
      <c r="P779" s="40"/>
      <c r="Q779" s="60" t="str">
        <f>IF($D779="","",IF($K779&lt;&gt;"Balance Sheet / Clearing","-",IF(SUMPRODUCT(--(LEFT('7. Settlements'!$J$8:$J$107,7)=$A779),--('7. Settlements'!$M$8:$M$107="Tied out"))+SUMPRODUCT(--(LEFT('8. Transfers'!$H$9:$H$108,7)=$A779),--('8. Transfers'!$J$9:$J$108="Matched"))+SUMPRODUCT(--(LEFT('8. Transfers'!$I$9:$I$108,7)=$A779),--('8. Transfers'!$J$9:$J$108="Matched"))+IF($O779="",0,COUNTIFS('9. Payroll Allocation'!$B$234:$B$253,$O779,'9. Payroll Allocation'!$H$234:$H$253,"Tied out"))&gt;0,"Linked","MISSING DETAIL")))</f>
        <v/>
      </c>
      <c r="T779" s="58" t="str">
        <f t="shared" si="115"/>
        <v/>
      </c>
      <c r="U779" s="59" t="str">
        <f>IF($T779="","",COUNTIF($T$6:$T779,"?*"))</f>
        <v/>
      </c>
      <c r="V779" s="58" t="str">
        <f t="shared" si="116"/>
        <v/>
      </c>
    </row>
    <row r="780" spans="1:22" ht="12.95" customHeight="1" x14ac:dyDescent="0.25">
      <c r="A780" s="52" t="str">
        <f t="shared" si="108"/>
        <v/>
      </c>
      <c r="B780" s="37"/>
      <c r="C780" s="28"/>
      <c r="D780" s="35"/>
      <c r="E780" s="38"/>
      <c r="F780" s="38"/>
      <c r="G780" s="52" t="str">
        <f t="shared" si="109"/>
        <v/>
      </c>
      <c r="H780" s="53" t="str">
        <f t="shared" si="110"/>
        <v/>
      </c>
      <c r="I780" s="40"/>
      <c r="J780" s="54" t="str">
        <f t="shared" si="111"/>
        <v/>
      </c>
      <c r="K780" s="41" t="str">
        <f t="shared" si="112"/>
        <v/>
      </c>
      <c r="L780" s="55"/>
      <c r="M780" s="56">
        <f t="shared" si="113"/>
        <v>0</v>
      </c>
      <c r="N780" s="56">
        <f t="shared" si="114"/>
        <v>0</v>
      </c>
      <c r="O780" s="57"/>
      <c r="P780" s="40"/>
      <c r="Q780" s="52" t="str">
        <f>IF($D780="","",IF($K780&lt;&gt;"Balance Sheet / Clearing","-",IF(SUMPRODUCT(--(LEFT('7. Settlements'!$J$8:$J$107,7)=$A780),--('7. Settlements'!$M$8:$M$107="Tied out"))+SUMPRODUCT(--(LEFT('8. Transfers'!$H$9:$H$108,7)=$A780),--('8. Transfers'!$J$9:$J$108="Matched"))+SUMPRODUCT(--(LEFT('8. Transfers'!$I$9:$I$108,7)=$A780),--('8. Transfers'!$J$9:$J$108="Matched"))+IF($O780="",0,COUNTIFS('9. Payroll Allocation'!$B$234:$B$253,$O780,'9. Payroll Allocation'!$H$234:$H$253,"Tied out"))&gt;0,"Linked","MISSING DETAIL")))</f>
        <v/>
      </c>
      <c r="T780" s="58" t="str">
        <f t="shared" si="115"/>
        <v/>
      </c>
      <c r="U780" s="59" t="str">
        <f>IF($T780="","",COUNTIF($T$6:$T780,"?*"))</f>
        <v/>
      </c>
      <c r="V780" s="58" t="str">
        <f t="shared" si="116"/>
        <v/>
      </c>
    </row>
    <row r="781" spans="1:22" ht="12.95" customHeight="1" x14ac:dyDescent="0.25">
      <c r="A781" s="60" t="str">
        <f t="shared" si="108"/>
        <v/>
      </c>
      <c r="B781" s="37"/>
      <c r="C781" s="28"/>
      <c r="D781" s="35"/>
      <c r="E781" s="38"/>
      <c r="F781" s="38"/>
      <c r="G781" s="60" t="str">
        <f t="shared" si="109"/>
        <v/>
      </c>
      <c r="H781" s="61" t="str">
        <f t="shared" si="110"/>
        <v/>
      </c>
      <c r="I781" s="40"/>
      <c r="J781" s="62" t="str">
        <f t="shared" si="111"/>
        <v/>
      </c>
      <c r="K781" s="45" t="str">
        <f t="shared" si="112"/>
        <v/>
      </c>
      <c r="L781" s="55"/>
      <c r="M781" s="63">
        <f t="shared" si="113"/>
        <v>0</v>
      </c>
      <c r="N781" s="63">
        <f t="shared" si="114"/>
        <v>0</v>
      </c>
      <c r="O781" s="57"/>
      <c r="P781" s="40"/>
      <c r="Q781" s="60" t="str">
        <f>IF($D781="","",IF($K781&lt;&gt;"Balance Sheet / Clearing","-",IF(SUMPRODUCT(--(LEFT('7. Settlements'!$J$8:$J$107,7)=$A781),--('7. Settlements'!$M$8:$M$107="Tied out"))+SUMPRODUCT(--(LEFT('8. Transfers'!$H$9:$H$108,7)=$A781),--('8. Transfers'!$J$9:$J$108="Matched"))+SUMPRODUCT(--(LEFT('8. Transfers'!$I$9:$I$108,7)=$A781),--('8. Transfers'!$J$9:$J$108="Matched"))+IF($O781="",0,COUNTIFS('9. Payroll Allocation'!$B$234:$B$253,$O781,'9. Payroll Allocation'!$H$234:$H$253,"Tied out"))&gt;0,"Linked","MISSING DETAIL")))</f>
        <v/>
      </c>
      <c r="T781" s="58" t="str">
        <f t="shared" si="115"/>
        <v/>
      </c>
      <c r="U781" s="59" t="str">
        <f>IF($T781="","",COUNTIF($T$6:$T781,"?*"))</f>
        <v/>
      </c>
      <c r="V781" s="58" t="str">
        <f t="shared" si="116"/>
        <v/>
      </c>
    </row>
    <row r="782" spans="1:22" ht="12.95" customHeight="1" x14ac:dyDescent="0.25">
      <c r="A782" s="52" t="str">
        <f t="shared" si="108"/>
        <v/>
      </c>
      <c r="B782" s="37"/>
      <c r="C782" s="28"/>
      <c r="D782" s="35"/>
      <c r="E782" s="38"/>
      <c r="F782" s="38"/>
      <c r="G782" s="52" t="str">
        <f t="shared" si="109"/>
        <v/>
      </c>
      <c r="H782" s="53" t="str">
        <f t="shared" si="110"/>
        <v/>
      </c>
      <c r="I782" s="40"/>
      <c r="J782" s="54" t="str">
        <f t="shared" si="111"/>
        <v/>
      </c>
      <c r="K782" s="41" t="str">
        <f t="shared" si="112"/>
        <v/>
      </c>
      <c r="L782" s="55"/>
      <c r="M782" s="56">
        <f t="shared" si="113"/>
        <v>0</v>
      </c>
      <c r="N782" s="56">
        <f t="shared" si="114"/>
        <v>0</v>
      </c>
      <c r="O782" s="57"/>
      <c r="P782" s="40"/>
      <c r="Q782" s="52" t="str">
        <f>IF($D782="","",IF($K782&lt;&gt;"Balance Sheet / Clearing","-",IF(SUMPRODUCT(--(LEFT('7. Settlements'!$J$8:$J$107,7)=$A782),--('7. Settlements'!$M$8:$M$107="Tied out"))+SUMPRODUCT(--(LEFT('8. Transfers'!$H$9:$H$108,7)=$A782),--('8. Transfers'!$J$9:$J$108="Matched"))+SUMPRODUCT(--(LEFT('8. Transfers'!$I$9:$I$108,7)=$A782),--('8. Transfers'!$J$9:$J$108="Matched"))+IF($O782="",0,COUNTIFS('9. Payroll Allocation'!$B$234:$B$253,$O782,'9. Payroll Allocation'!$H$234:$H$253,"Tied out"))&gt;0,"Linked","MISSING DETAIL")))</f>
        <v/>
      </c>
      <c r="T782" s="58" t="str">
        <f t="shared" si="115"/>
        <v/>
      </c>
      <c r="U782" s="59" t="str">
        <f>IF($T782="","",COUNTIF($T$6:$T782,"?*"))</f>
        <v/>
      </c>
      <c r="V782" s="58" t="str">
        <f t="shared" si="116"/>
        <v/>
      </c>
    </row>
    <row r="783" spans="1:22" ht="12.95" customHeight="1" x14ac:dyDescent="0.25">
      <c r="A783" s="60" t="str">
        <f t="shared" si="108"/>
        <v/>
      </c>
      <c r="B783" s="37"/>
      <c r="C783" s="28"/>
      <c r="D783" s="35"/>
      <c r="E783" s="38"/>
      <c r="F783" s="38"/>
      <c r="G783" s="60" t="str">
        <f t="shared" si="109"/>
        <v/>
      </c>
      <c r="H783" s="61" t="str">
        <f t="shared" si="110"/>
        <v/>
      </c>
      <c r="I783" s="40"/>
      <c r="J783" s="62" t="str">
        <f t="shared" si="111"/>
        <v/>
      </c>
      <c r="K783" s="45" t="str">
        <f t="shared" si="112"/>
        <v/>
      </c>
      <c r="L783" s="55"/>
      <c r="M783" s="63">
        <f t="shared" si="113"/>
        <v>0</v>
      </c>
      <c r="N783" s="63">
        <f t="shared" si="114"/>
        <v>0</v>
      </c>
      <c r="O783" s="57"/>
      <c r="P783" s="40"/>
      <c r="Q783" s="60" t="str">
        <f>IF($D783="","",IF($K783&lt;&gt;"Balance Sheet / Clearing","-",IF(SUMPRODUCT(--(LEFT('7. Settlements'!$J$8:$J$107,7)=$A783),--('7. Settlements'!$M$8:$M$107="Tied out"))+SUMPRODUCT(--(LEFT('8. Transfers'!$H$9:$H$108,7)=$A783),--('8. Transfers'!$J$9:$J$108="Matched"))+SUMPRODUCT(--(LEFT('8. Transfers'!$I$9:$I$108,7)=$A783),--('8. Transfers'!$J$9:$J$108="Matched"))+IF($O783="",0,COUNTIFS('9. Payroll Allocation'!$B$234:$B$253,$O783,'9. Payroll Allocation'!$H$234:$H$253,"Tied out"))&gt;0,"Linked","MISSING DETAIL")))</f>
        <v/>
      </c>
      <c r="T783" s="58" t="str">
        <f t="shared" si="115"/>
        <v/>
      </c>
      <c r="U783" s="59" t="str">
        <f>IF($T783="","",COUNTIF($T$6:$T783,"?*"))</f>
        <v/>
      </c>
      <c r="V783" s="58" t="str">
        <f t="shared" si="116"/>
        <v/>
      </c>
    </row>
    <row r="784" spans="1:22" ht="12.95" customHeight="1" x14ac:dyDescent="0.25">
      <c r="A784" s="52" t="str">
        <f t="shared" si="108"/>
        <v/>
      </c>
      <c r="B784" s="37"/>
      <c r="C784" s="28"/>
      <c r="D784" s="35"/>
      <c r="E784" s="38"/>
      <c r="F784" s="38"/>
      <c r="G784" s="52" t="str">
        <f t="shared" si="109"/>
        <v/>
      </c>
      <c r="H784" s="53" t="str">
        <f t="shared" si="110"/>
        <v/>
      </c>
      <c r="I784" s="40"/>
      <c r="J784" s="54" t="str">
        <f t="shared" si="111"/>
        <v/>
      </c>
      <c r="K784" s="41" t="str">
        <f t="shared" si="112"/>
        <v/>
      </c>
      <c r="L784" s="55"/>
      <c r="M784" s="56">
        <f t="shared" si="113"/>
        <v>0</v>
      </c>
      <c r="N784" s="56">
        <f t="shared" si="114"/>
        <v>0</v>
      </c>
      <c r="O784" s="57"/>
      <c r="P784" s="40"/>
      <c r="Q784" s="52" t="str">
        <f>IF($D784="","",IF($K784&lt;&gt;"Balance Sheet / Clearing","-",IF(SUMPRODUCT(--(LEFT('7. Settlements'!$J$8:$J$107,7)=$A784),--('7. Settlements'!$M$8:$M$107="Tied out"))+SUMPRODUCT(--(LEFT('8. Transfers'!$H$9:$H$108,7)=$A784),--('8. Transfers'!$J$9:$J$108="Matched"))+SUMPRODUCT(--(LEFT('8. Transfers'!$I$9:$I$108,7)=$A784),--('8. Transfers'!$J$9:$J$108="Matched"))+IF($O784="",0,COUNTIFS('9. Payroll Allocation'!$B$234:$B$253,$O784,'9. Payroll Allocation'!$H$234:$H$253,"Tied out"))&gt;0,"Linked","MISSING DETAIL")))</f>
        <v/>
      </c>
      <c r="T784" s="58" t="str">
        <f t="shared" si="115"/>
        <v/>
      </c>
      <c r="U784" s="59" t="str">
        <f>IF($T784="","",COUNTIF($T$6:$T784,"?*"))</f>
        <v/>
      </c>
      <c r="V784" s="58" t="str">
        <f t="shared" si="116"/>
        <v/>
      </c>
    </row>
    <row r="785" spans="1:22" ht="12.95" customHeight="1" x14ac:dyDescent="0.25">
      <c r="A785" s="60" t="str">
        <f t="shared" si="108"/>
        <v/>
      </c>
      <c r="B785" s="37"/>
      <c r="C785" s="28"/>
      <c r="D785" s="35"/>
      <c r="E785" s="38"/>
      <c r="F785" s="38"/>
      <c r="G785" s="60" t="str">
        <f t="shared" si="109"/>
        <v/>
      </c>
      <c r="H785" s="61" t="str">
        <f t="shared" si="110"/>
        <v/>
      </c>
      <c r="I785" s="40"/>
      <c r="J785" s="62" t="str">
        <f t="shared" si="111"/>
        <v/>
      </c>
      <c r="K785" s="45" t="str">
        <f t="shared" si="112"/>
        <v/>
      </c>
      <c r="L785" s="55"/>
      <c r="M785" s="63">
        <f t="shared" si="113"/>
        <v>0</v>
      </c>
      <c r="N785" s="63">
        <f t="shared" si="114"/>
        <v>0</v>
      </c>
      <c r="O785" s="57"/>
      <c r="P785" s="40"/>
      <c r="Q785" s="60" t="str">
        <f>IF($D785="","",IF($K785&lt;&gt;"Balance Sheet / Clearing","-",IF(SUMPRODUCT(--(LEFT('7. Settlements'!$J$8:$J$107,7)=$A785),--('7. Settlements'!$M$8:$M$107="Tied out"))+SUMPRODUCT(--(LEFT('8. Transfers'!$H$9:$H$108,7)=$A785),--('8. Transfers'!$J$9:$J$108="Matched"))+SUMPRODUCT(--(LEFT('8. Transfers'!$I$9:$I$108,7)=$A785),--('8. Transfers'!$J$9:$J$108="Matched"))+IF($O785="",0,COUNTIFS('9. Payroll Allocation'!$B$234:$B$253,$O785,'9. Payroll Allocation'!$H$234:$H$253,"Tied out"))&gt;0,"Linked","MISSING DETAIL")))</f>
        <v/>
      </c>
      <c r="T785" s="58" t="str">
        <f t="shared" si="115"/>
        <v/>
      </c>
      <c r="U785" s="59" t="str">
        <f>IF($T785="","",COUNTIF($T$6:$T785,"?*"))</f>
        <v/>
      </c>
      <c r="V785" s="58" t="str">
        <f t="shared" si="116"/>
        <v/>
      </c>
    </row>
    <row r="786" spans="1:22" ht="12.95" customHeight="1" x14ac:dyDescent="0.25">
      <c r="A786" s="52" t="str">
        <f t="shared" si="108"/>
        <v/>
      </c>
      <c r="B786" s="37"/>
      <c r="C786" s="28"/>
      <c r="D786" s="35"/>
      <c r="E786" s="38"/>
      <c r="F786" s="38"/>
      <c r="G786" s="52" t="str">
        <f t="shared" si="109"/>
        <v/>
      </c>
      <c r="H786" s="53" t="str">
        <f t="shared" si="110"/>
        <v/>
      </c>
      <c r="I786" s="40"/>
      <c r="J786" s="54" t="str">
        <f t="shared" si="111"/>
        <v/>
      </c>
      <c r="K786" s="41" t="str">
        <f t="shared" si="112"/>
        <v/>
      </c>
      <c r="L786" s="55"/>
      <c r="M786" s="56">
        <f t="shared" si="113"/>
        <v>0</v>
      </c>
      <c r="N786" s="56">
        <f t="shared" si="114"/>
        <v>0</v>
      </c>
      <c r="O786" s="57"/>
      <c r="P786" s="40"/>
      <c r="Q786" s="52" t="str">
        <f>IF($D786="","",IF($K786&lt;&gt;"Balance Sheet / Clearing","-",IF(SUMPRODUCT(--(LEFT('7. Settlements'!$J$8:$J$107,7)=$A786),--('7. Settlements'!$M$8:$M$107="Tied out"))+SUMPRODUCT(--(LEFT('8. Transfers'!$H$9:$H$108,7)=$A786),--('8. Transfers'!$J$9:$J$108="Matched"))+SUMPRODUCT(--(LEFT('8. Transfers'!$I$9:$I$108,7)=$A786),--('8. Transfers'!$J$9:$J$108="Matched"))+IF($O786="",0,COUNTIFS('9. Payroll Allocation'!$B$234:$B$253,$O786,'9. Payroll Allocation'!$H$234:$H$253,"Tied out"))&gt;0,"Linked","MISSING DETAIL")))</f>
        <v/>
      </c>
      <c r="T786" s="58" t="str">
        <f t="shared" si="115"/>
        <v/>
      </c>
      <c r="U786" s="59" t="str">
        <f>IF($T786="","",COUNTIF($T$6:$T786,"?*"))</f>
        <v/>
      </c>
      <c r="V786" s="58" t="str">
        <f t="shared" si="116"/>
        <v/>
      </c>
    </row>
    <row r="787" spans="1:22" ht="12.95" customHeight="1" x14ac:dyDescent="0.25">
      <c r="A787" s="60" t="str">
        <f t="shared" si="108"/>
        <v/>
      </c>
      <c r="B787" s="37"/>
      <c r="C787" s="28"/>
      <c r="D787" s="35"/>
      <c r="E787" s="38"/>
      <c r="F787" s="38"/>
      <c r="G787" s="60" t="str">
        <f t="shared" si="109"/>
        <v/>
      </c>
      <c r="H787" s="61" t="str">
        <f t="shared" si="110"/>
        <v/>
      </c>
      <c r="I787" s="40"/>
      <c r="J787" s="62" t="str">
        <f t="shared" si="111"/>
        <v/>
      </c>
      <c r="K787" s="45" t="str">
        <f t="shared" si="112"/>
        <v/>
      </c>
      <c r="L787" s="55"/>
      <c r="M787" s="63">
        <f t="shared" si="113"/>
        <v>0</v>
      </c>
      <c r="N787" s="63">
        <f t="shared" si="114"/>
        <v>0</v>
      </c>
      <c r="O787" s="57"/>
      <c r="P787" s="40"/>
      <c r="Q787" s="60" t="str">
        <f>IF($D787="","",IF($K787&lt;&gt;"Balance Sheet / Clearing","-",IF(SUMPRODUCT(--(LEFT('7. Settlements'!$J$8:$J$107,7)=$A787),--('7. Settlements'!$M$8:$M$107="Tied out"))+SUMPRODUCT(--(LEFT('8. Transfers'!$H$9:$H$108,7)=$A787),--('8. Transfers'!$J$9:$J$108="Matched"))+SUMPRODUCT(--(LEFT('8. Transfers'!$I$9:$I$108,7)=$A787),--('8. Transfers'!$J$9:$J$108="Matched"))+IF($O787="",0,COUNTIFS('9. Payroll Allocation'!$B$234:$B$253,$O787,'9. Payroll Allocation'!$H$234:$H$253,"Tied out"))&gt;0,"Linked","MISSING DETAIL")))</f>
        <v/>
      </c>
      <c r="T787" s="58" t="str">
        <f t="shared" si="115"/>
        <v/>
      </c>
      <c r="U787" s="59" t="str">
        <f>IF($T787="","",COUNTIF($T$6:$T787,"?*"))</f>
        <v/>
      </c>
      <c r="V787" s="58" t="str">
        <f t="shared" si="116"/>
        <v/>
      </c>
    </row>
    <row r="788" spans="1:22" ht="12.95" customHeight="1" x14ac:dyDescent="0.25">
      <c r="A788" s="52" t="str">
        <f t="shared" si="108"/>
        <v/>
      </c>
      <c r="B788" s="37"/>
      <c r="C788" s="28"/>
      <c r="D788" s="35"/>
      <c r="E788" s="38"/>
      <c r="F788" s="38"/>
      <c r="G788" s="52" t="str">
        <f t="shared" si="109"/>
        <v/>
      </c>
      <c r="H788" s="53" t="str">
        <f t="shared" si="110"/>
        <v/>
      </c>
      <c r="I788" s="40"/>
      <c r="J788" s="54" t="str">
        <f t="shared" si="111"/>
        <v/>
      </c>
      <c r="K788" s="41" t="str">
        <f t="shared" si="112"/>
        <v/>
      </c>
      <c r="L788" s="55"/>
      <c r="M788" s="56">
        <f t="shared" si="113"/>
        <v>0</v>
      </c>
      <c r="N788" s="56">
        <f t="shared" si="114"/>
        <v>0</v>
      </c>
      <c r="O788" s="57"/>
      <c r="P788" s="40"/>
      <c r="Q788" s="52" t="str">
        <f>IF($D788="","",IF($K788&lt;&gt;"Balance Sheet / Clearing","-",IF(SUMPRODUCT(--(LEFT('7. Settlements'!$J$8:$J$107,7)=$A788),--('7. Settlements'!$M$8:$M$107="Tied out"))+SUMPRODUCT(--(LEFT('8. Transfers'!$H$9:$H$108,7)=$A788),--('8. Transfers'!$J$9:$J$108="Matched"))+SUMPRODUCT(--(LEFT('8. Transfers'!$I$9:$I$108,7)=$A788),--('8. Transfers'!$J$9:$J$108="Matched"))+IF($O788="",0,COUNTIFS('9. Payroll Allocation'!$B$234:$B$253,$O788,'9. Payroll Allocation'!$H$234:$H$253,"Tied out"))&gt;0,"Linked","MISSING DETAIL")))</f>
        <v/>
      </c>
      <c r="T788" s="58" t="str">
        <f t="shared" si="115"/>
        <v/>
      </c>
      <c r="U788" s="59" t="str">
        <f>IF($T788="","",COUNTIF($T$6:$T788,"?*"))</f>
        <v/>
      </c>
      <c r="V788" s="58" t="str">
        <f t="shared" si="116"/>
        <v/>
      </c>
    </row>
    <row r="789" spans="1:22" ht="12.95" customHeight="1" x14ac:dyDescent="0.25">
      <c r="A789" s="60" t="str">
        <f t="shared" si="108"/>
        <v/>
      </c>
      <c r="B789" s="37"/>
      <c r="C789" s="28"/>
      <c r="D789" s="35"/>
      <c r="E789" s="38"/>
      <c r="F789" s="38"/>
      <c r="G789" s="60" t="str">
        <f t="shared" si="109"/>
        <v/>
      </c>
      <c r="H789" s="61" t="str">
        <f t="shared" si="110"/>
        <v/>
      </c>
      <c r="I789" s="40"/>
      <c r="J789" s="62" t="str">
        <f t="shared" si="111"/>
        <v/>
      </c>
      <c r="K789" s="45" t="str">
        <f t="shared" si="112"/>
        <v/>
      </c>
      <c r="L789" s="55"/>
      <c r="M789" s="63">
        <f t="shared" si="113"/>
        <v>0</v>
      </c>
      <c r="N789" s="63">
        <f t="shared" si="114"/>
        <v>0</v>
      </c>
      <c r="O789" s="57"/>
      <c r="P789" s="40"/>
      <c r="Q789" s="60" t="str">
        <f>IF($D789="","",IF($K789&lt;&gt;"Balance Sheet / Clearing","-",IF(SUMPRODUCT(--(LEFT('7. Settlements'!$J$8:$J$107,7)=$A789),--('7. Settlements'!$M$8:$M$107="Tied out"))+SUMPRODUCT(--(LEFT('8. Transfers'!$H$9:$H$108,7)=$A789),--('8. Transfers'!$J$9:$J$108="Matched"))+SUMPRODUCT(--(LEFT('8. Transfers'!$I$9:$I$108,7)=$A789),--('8. Transfers'!$J$9:$J$108="Matched"))+IF($O789="",0,COUNTIFS('9. Payroll Allocation'!$B$234:$B$253,$O789,'9. Payroll Allocation'!$H$234:$H$253,"Tied out"))&gt;0,"Linked","MISSING DETAIL")))</f>
        <v/>
      </c>
      <c r="T789" s="58" t="str">
        <f t="shared" si="115"/>
        <v/>
      </c>
      <c r="U789" s="59" t="str">
        <f>IF($T789="","",COUNTIF($T$6:$T789,"?*"))</f>
        <v/>
      </c>
      <c r="V789" s="58" t="str">
        <f t="shared" si="116"/>
        <v/>
      </c>
    </row>
    <row r="790" spans="1:22" ht="12.95" customHeight="1" x14ac:dyDescent="0.25">
      <c r="A790" s="52" t="str">
        <f t="shared" si="108"/>
        <v/>
      </c>
      <c r="B790" s="37"/>
      <c r="C790" s="28"/>
      <c r="D790" s="35"/>
      <c r="E790" s="38"/>
      <c r="F790" s="38"/>
      <c r="G790" s="52" t="str">
        <f t="shared" si="109"/>
        <v/>
      </c>
      <c r="H790" s="53" t="str">
        <f t="shared" si="110"/>
        <v/>
      </c>
      <c r="I790" s="40"/>
      <c r="J790" s="54" t="str">
        <f t="shared" si="111"/>
        <v/>
      </c>
      <c r="K790" s="41" t="str">
        <f t="shared" si="112"/>
        <v/>
      </c>
      <c r="L790" s="55"/>
      <c r="M790" s="56">
        <f t="shared" si="113"/>
        <v>0</v>
      </c>
      <c r="N790" s="56">
        <f t="shared" si="114"/>
        <v>0</v>
      </c>
      <c r="O790" s="57"/>
      <c r="P790" s="40"/>
      <c r="Q790" s="52" t="str">
        <f>IF($D790="","",IF($K790&lt;&gt;"Balance Sheet / Clearing","-",IF(SUMPRODUCT(--(LEFT('7. Settlements'!$J$8:$J$107,7)=$A790),--('7. Settlements'!$M$8:$M$107="Tied out"))+SUMPRODUCT(--(LEFT('8. Transfers'!$H$9:$H$108,7)=$A790),--('8. Transfers'!$J$9:$J$108="Matched"))+SUMPRODUCT(--(LEFT('8. Transfers'!$I$9:$I$108,7)=$A790),--('8. Transfers'!$J$9:$J$108="Matched"))+IF($O790="",0,COUNTIFS('9. Payroll Allocation'!$B$234:$B$253,$O790,'9. Payroll Allocation'!$H$234:$H$253,"Tied out"))&gt;0,"Linked","MISSING DETAIL")))</f>
        <v/>
      </c>
      <c r="T790" s="58" t="str">
        <f t="shared" si="115"/>
        <v/>
      </c>
      <c r="U790" s="59" t="str">
        <f>IF($T790="","",COUNTIF($T$6:$T790,"?*"))</f>
        <v/>
      </c>
      <c r="V790" s="58" t="str">
        <f t="shared" si="116"/>
        <v/>
      </c>
    </row>
    <row r="791" spans="1:22" ht="12.95" customHeight="1" x14ac:dyDescent="0.25">
      <c r="A791" s="60" t="str">
        <f t="shared" si="108"/>
        <v/>
      </c>
      <c r="B791" s="37"/>
      <c r="C791" s="28"/>
      <c r="D791" s="35"/>
      <c r="E791" s="38"/>
      <c r="F791" s="38"/>
      <c r="G791" s="60" t="str">
        <f t="shared" si="109"/>
        <v/>
      </c>
      <c r="H791" s="61" t="str">
        <f t="shared" si="110"/>
        <v/>
      </c>
      <c r="I791" s="40"/>
      <c r="J791" s="62" t="str">
        <f t="shared" si="111"/>
        <v/>
      </c>
      <c r="K791" s="45" t="str">
        <f t="shared" si="112"/>
        <v/>
      </c>
      <c r="L791" s="55"/>
      <c r="M791" s="63">
        <f t="shared" si="113"/>
        <v>0</v>
      </c>
      <c r="N791" s="63">
        <f t="shared" si="114"/>
        <v>0</v>
      </c>
      <c r="O791" s="57"/>
      <c r="P791" s="40"/>
      <c r="Q791" s="60" t="str">
        <f>IF($D791="","",IF($K791&lt;&gt;"Balance Sheet / Clearing","-",IF(SUMPRODUCT(--(LEFT('7. Settlements'!$J$8:$J$107,7)=$A791),--('7. Settlements'!$M$8:$M$107="Tied out"))+SUMPRODUCT(--(LEFT('8. Transfers'!$H$9:$H$108,7)=$A791),--('8. Transfers'!$J$9:$J$108="Matched"))+SUMPRODUCT(--(LEFT('8. Transfers'!$I$9:$I$108,7)=$A791),--('8. Transfers'!$J$9:$J$108="Matched"))+IF($O791="",0,COUNTIFS('9. Payroll Allocation'!$B$234:$B$253,$O791,'9. Payroll Allocation'!$H$234:$H$253,"Tied out"))&gt;0,"Linked","MISSING DETAIL")))</f>
        <v/>
      </c>
      <c r="T791" s="58" t="str">
        <f t="shared" si="115"/>
        <v/>
      </c>
      <c r="U791" s="59" t="str">
        <f>IF($T791="","",COUNTIF($T$6:$T791,"?*"))</f>
        <v/>
      </c>
      <c r="V791" s="58" t="str">
        <f t="shared" si="116"/>
        <v/>
      </c>
    </row>
    <row r="792" spans="1:22" ht="12.95" customHeight="1" x14ac:dyDescent="0.25">
      <c r="A792" s="52" t="str">
        <f t="shared" si="108"/>
        <v/>
      </c>
      <c r="B792" s="37"/>
      <c r="C792" s="28"/>
      <c r="D792" s="35"/>
      <c r="E792" s="38"/>
      <c r="F792" s="38"/>
      <c r="G792" s="52" t="str">
        <f t="shared" si="109"/>
        <v/>
      </c>
      <c r="H792" s="53" t="str">
        <f t="shared" si="110"/>
        <v/>
      </c>
      <c r="I792" s="40"/>
      <c r="J792" s="54" t="str">
        <f t="shared" si="111"/>
        <v/>
      </c>
      <c r="K792" s="41" t="str">
        <f t="shared" si="112"/>
        <v/>
      </c>
      <c r="L792" s="55"/>
      <c r="M792" s="56">
        <f t="shared" si="113"/>
        <v>0</v>
      </c>
      <c r="N792" s="56">
        <f t="shared" si="114"/>
        <v>0</v>
      </c>
      <c r="O792" s="57"/>
      <c r="P792" s="40"/>
      <c r="Q792" s="52" t="str">
        <f>IF($D792="","",IF($K792&lt;&gt;"Balance Sheet / Clearing","-",IF(SUMPRODUCT(--(LEFT('7. Settlements'!$J$8:$J$107,7)=$A792),--('7. Settlements'!$M$8:$M$107="Tied out"))+SUMPRODUCT(--(LEFT('8. Transfers'!$H$9:$H$108,7)=$A792),--('8. Transfers'!$J$9:$J$108="Matched"))+SUMPRODUCT(--(LEFT('8. Transfers'!$I$9:$I$108,7)=$A792),--('8. Transfers'!$J$9:$J$108="Matched"))+IF($O792="",0,COUNTIFS('9. Payroll Allocation'!$B$234:$B$253,$O792,'9. Payroll Allocation'!$H$234:$H$253,"Tied out"))&gt;0,"Linked","MISSING DETAIL")))</f>
        <v/>
      </c>
      <c r="T792" s="58" t="str">
        <f t="shared" si="115"/>
        <v/>
      </c>
      <c r="U792" s="59" t="str">
        <f>IF($T792="","",COUNTIF($T$6:$T792,"?*"))</f>
        <v/>
      </c>
      <c r="V792" s="58" t="str">
        <f t="shared" si="116"/>
        <v/>
      </c>
    </row>
    <row r="793" spans="1:22" ht="12.95" customHeight="1" x14ac:dyDescent="0.25">
      <c r="A793" s="60" t="str">
        <f t="shared" si="108"/>
        <v/>
      </c>
      <c r="B793" s="37"/>
      <c r="C793" s="28"/>
      <c r="D793" s="35"/>
      <c r="E793" s="38"/>
      <c r="F793" s="38"/>
      <c r="G793" s="60" t="str">
        <f t="shared" si="109"/>
        <v/>
      </c>
      <c r="H793" s="61" t="str">
        <f t="shared" si="110"/>
        <v/>
      </c>
      <c r="I793" s="40"/>
      <c r="J793" s="62" t="str">
        <f t="shared" si="111"/>
        <v/>
      </c>
      <c r="K793" s="45" t="str">
        <f t="shared" si="112"/>
        <v/>
      </c>
      <c r="L793" s="55"/>
      <c r="M793" s="63">
        <f t="shared" si="113"/>
        <v>0</v>
      </c>
      <c r="N793" s="63">
        <f t="shared" si="114"/>
        <v>0</v>
      </c>
      <c r="O793" s="57"/>
      <c r="P793" s="40"/>
      <c r="Q793" s="60" t="str">
        <f>IF($D793="","",IF($K793&lt;&gt;"Balance Sheet / Clearing","-",IF(SUMPRODUCT(--(LEFT('7. Settlements'!$J$8:$J$107,7)=$A793),--('7. Settlements'!$M$8:$M$107="Tied out"))+SUMPRODUCT(--(LEFT('8. Transfers'!$H$9:$H$108,7)=$A793),--('8. Transfers'!$J$9:$J$108="Matched"))+SUMPRODUCT(--(LEFT('8. Transfers'!$I$9:$I$108,7)=$A793),--('8. Transfers'!$J$9:$J$108="Matched"))+IF($O793="",0,COUNTIFS('9. Payroll Allocation'!$B$234:$B$253,$O793,'9. Payroll Allocation'!$H$234:$H$253,"Tied out"))&gt;0,"Linked","MISSING DETAIL")))</f>
        <v/>
      </c>
      <c r="T793" s="58" t="str">
        <f t="shared" si="115"/>
        <v/>
      </c>
      <c r="U793" s="59" t="str">
        <f>IF($T793="","",COUNTIF($T$6:$T793,"?*"))</f>
        <v/>
      </c>
      <c r="V793" s="58" t="str">
        <f t="shared" si="116"/>
        <v/>
      </c>
    </row>
    <row r="794" spans="1:22" ht="12.95" customHeight="1" x14ac:dyDescent="0.25">
      <c r="A794" s="52" t="str">
        <f t="shared" si="108"/>
        <v/>
      </c>
      <c r="B794" s="37"/>
      <c r="C794" s="28"/>
      <c r="D794" s="35"/>
      <c r="E794" s="38"/>
      <c r="F794" s="38"/>
      <c r="G794" s="52" t="str">
        <f t="shared" si="109"/>
        <v/>
      </c>
      <c r="H794" s="53" t="str">
        <f t="shared" si="110"/>
        <v/>
      </c>
      <c r="I794" s="40"/>
      <c r="J794" s="54" t="str">
        <f t="shared" si="111"/>
        <v/>
      </c>
      <c r="K794" s="41" t="str">
        <f t="shared" si="112"/>
        <v/>
      </c>
      <c r="L794" s="55"/>
      <c r="M794" s="56">
        <f t="shared" si="113"/>
        <v>0</v>
      </c>
      <c r="N794" s="56">
        <f t="shared" si="114"/>
        <v>0</v>
      </c>
      <c r="O794" s="57"/>
      <c r="P794" s="40"/>
      <c r="Q794" s="52" t="str">
        <f>IF($D794="","",IF($K794&lt;&gt;"Balance Sheet / Clearing","-",IF(SUMPRODUCT(--(LEFT('7. Settlements'!$J$8:$J$107,7)=$A794),--('7. Settlements'!$M$8:$M$107="Tied out"))+SUMPRODUCT(--(LEFT('8. Transfers'!$H$9:$H$108,7)=$A794),--('8. Transfers'!$J$9:$J$108="Matched"))+SUMPRODUCT(--(LEFT('8. Transfers'!$I$9:$I$108,7)=$A794),--('8. Transfers'!$J$9:$J$108="Matched"))+IF($O794="",0,COUNTIFS('9. Payroll Allocation'!$B$234:$B$253,$O794,'9. Payroll Allocation'!$H$234:$H$253,"Tied out"))&gt;0,"Linked","MISSING DETAIL")))</f>
        <v/>
      </c>
      <c r="T794" s="58" t="str">
        <f t="shared" si="115"/>
        <v/>
      </c>
      <c r="U794" s="59" t="str">
        <f>IF($T794="","",COUNTIF($T$6:$T794,"?*"))</f>
        <v/>
      </c>
      <c r="V794" s="58" t="str">
        <f t="shared" si="116"/>
        <v/>
      </c>
    </row>
    <row r="795" spans="1:22" ht="12.95" customHeight="1" x14ac:dyDescent="0.25">
      <c r="A795" s="60" t="str">
        <f t="shared" si="108"/>
        <v/>
      </c>
      <c r="B795" s="37"/>
      <c r="C795" s="28"/>
      <c r="D795" s="35"/>
      <c r="E795" s="38"/>
      <c r="F795" s="38"/>
      <c r="G795" s="60" t="str">
        <f t="shared" si="109"/>
        <v/>
      </c>
      <c r="H795" s="61" t="str">
        <f t="shared" si="110"/>
        <v/>
      </c>
      <c r="I795" s="40"/>
      <c r="J795" s="62" t="str">
        <f t="shared" si="111"/>
        <v/>
      </c>
      <c r="K795" s="45" t="str">
        <f t="shared" si="112"/>
        <v/>
      </c>
      <c r="L795" s="55"/>
      <c r="M795" s="63">
        <f t="shared" si="113"/>
        <v>0</v>
      </c>
      <c r="N795" s="63">
        <f t="shared" si="114"/>
        <v>0</v>
      </c>
      <c r="O795" s="57"/>
      <c r="P795" s="40"/>
      <c r="Q795" s="60" t="str">
        <f>IF($D795="","",IF($K795&lt;&gt;"Balance Sheet / Clearing","-",IF(SUMPRODUCT(--(LEFT('7. Settlements'!$J$8:$J$107,7)=$A795),--('7. Settlements'!$M$8:$M$107="Tied out"))+SUMPRODUCT(--(LEFT('8. Transfers'!$H$9:$H$108,7)=$A795),--('8. Transfers'!$J$9:$J$108="Matched"))+SUMPRODUCT(--(LEFT('8. Transfers'!$I$9:$I$108,7)=$A795),--('8. Transfers'!$J$9:$J$108="Matched"))+IF($O795="",0,COUNTIFS('9. Payroll Allocation'!$B$234:$B$253,$O795,'9. Payroll Allocation'!$H$234:$H$253,"Tied out"))&gt;0,"Linked","MISSING DETAIL")))</f>
        <v/>
      </c>
      <c r="T795" s="58" t="str">
        <f t="shared" si="115"/>
        <v/>
      </c>
      <c r="U795" s="59" t="str">
        <f>IF($T795="","",COUNTIF($T$6:$T795,"?*"))</f>
        <v/>
      </c>
      <c r="V795" s="58" t="str">
        <f t="shared" si="116"/>
        <v/>
      </c>
    </row>
    <row r="796" spans="1:22" ht="12.95" customHeight="1" x14ac:dyDescent="0.25">
      <c r="A796" s="52" t="str">
        <f t="shared" si="108"/>
        <v/>
      </c>
      <c r="B796" s="37"/>
      <c r="C796" s="28"/>
      <c r="D796" s="35"/>
      <c r="E796" s="38"/>
      <c r="F796" s="38"/>
      <c r="G796" s="52" t="str">
        <f t="shared" si="109"/>
        <v/>
      </c>
      <c r="H796" s="53" t="str">
        <f t="shared" si="110"/>
        <v/>
      </c>
      <c r="I796" s="40"/>
      <c r="J796" s="54" t="str">
        <f t="shared" si="111"/>
        <v/>
      </c>
      <c r="K796" s="41" t="str">
        <f t="shared" si="112"/>
        <v/>
      </c>
      <c r="L796" s="55"/>
      <c r="M796" s="56">
        <f t="shared" si="113"/>
        <v>0</v>
      </c>
      <c r="N796" s="56">
        <f t="shared" si="114"/>
        <v>0</v>
      </c>
      <c r="O796" s="57"/>
      <c r="P796" s="40"/>
      <c r="Q796" s="52" t="str">
        <f>IF($D796="","",IF($K796&lt;&gt;"Balance Sheet / Clearing","-",IF(SUMPRODUCT(--(LEFT('7. Settlements'!$J$8:$J$107,7)=$A796),--('7. Settlements'!$M$8:$M$107="Tied out"))+SUMPRODUCT(--(LEFT('8. Transfers'!$H$9:$H$108,7)=$A796),--('8. Transfers'!$J$9:$J$108="Matched"))+SUMPRODUCT(--(LEFT('8. Transfers'!$I$9:$I$108,7)=$A796),--('8. Transfers'!$J$9:$J$108="Matched"))+IF($O796="",0,COUNTIFS('9. Payroll Allocation'!$B$234:$B$253,$O796,'9. Payroll Allocation'!$H$234:$H$253,"Tied out"))&gt;0,"Linked","MISSING DETAIL")))</f>
        <v/>
      </c>
      <c r="T796" s="58" t="str">
        <f t="shared" si="115"/>
        <v/>
      </c>
      <c r="U796" s="59" t="str">
        <f>IF($T796="","",COUNTIF($T$6:$T796,"?*"))</f>
        <v/>
      </c>
      <c r="V796" s="58" t="str">
        <f t="shared" si="116"/>
        <v/>
      </c>
    </row>
    <row r="797" spans="1:22" ht="12.95" customHeight="1" x14ac:dyDescent="0.25">
      <c r="A797" s="60" t="str">
        <f t="shared" si="108"/>
        <v/>
      </c>
      <c r="B797" s="37"/>
      <c r="C797" s="28"/>
      <c r="D797" s="35"/>
      <c r="E797" s="38"/>
      <c r="F797" s="38"/>
      <c r="G797" s="60" t="str">
        <f t="shared" si="109"/>
        <v/>
      </c>
      <c r="H797" s="61" t="str">
        <f t="shared" si="110"/>
        <v/>
      </c>
      <c r="I797" s="40"/>
      <c r="J797" s="62" t="str">
        <f t="shared" si="111"/>
        <v/>
      </c>
      <c r="K797" s="45" t="str">
        <f t="shared" si="112"/>
        <v/>
      </c>
      <c r="L797" s="55"/>
      <c r="M797" s="63">
        <f t="shared" si="113"/>
        <v>0</v>
      </c>
      <c r="N797" s="63">
        <f t="shared" si="114"/>
        <v>0</v>
      </c>
      <c r="O797" s="57"/>
      <c r="P797" s="40"/>
      <c r="Q797" s="60" t="str">
        <f>IF($D797="","",IF($K797&lt;&gt;"Balance Sheet / Clearing","-",IF(SUMPRODUCT(--(LEFT('7. Settlements'!$J$8:$J$107,7)=$A797),--('7. Settlements'!$M$8:$M$107="Tied out"))+SUMPRODUCT(--(LEFT('8. Transfers'!$H$9:$H$108,7)=$A797),--('8. Transfers'!$J$9:$J$108="Matched"))+SUMPRODUCT(--(LEFT('8. Transfers'!$I$9:$I$108,7)=$A797),--('8. Transfers'!$J$9:$J$108="Matched"))+IF($O797="",0,COUNTIFS('9. Payroll Allocation'!$B$234:$B$253,$O797,'9. Payroll Allocation'!$H$234:$H$253,"Tied out"))&gt;0,"Linked","MISSING DETAIL")))</f>
        <v/>
      </c>
      <c r="T797" s="58" t="str">
        <f t="shared" si="115"/>
        <v/>
      </c>
      <c r="U797" s="59" t="str">
        <f>IF($T797="","",COUNTIF($T$6:$T797,"?*"))</f>
        <v/>
      </c>
      <c r="V797" s="58" t="str">
        <f t="shared" si="116"/>
        <v/>
      </c>
    </row>
    <row r="798" spans="1:22" ht="12.95" customHeight="1" x14ac:dyDescent="0.25">
      <c r="A798" s="52" t="str">
        <f t="shared" si="108"/>
        <v/>
      </c>
      <c r="B798" s="37"/>
      <c r="C798" s="28"/>
      <c r="D798" s="35"/>
      <c r="E798" s="38"/>
      <c r="F798" s="38"/>
      <c r="G798" s="52" t="str">
        <f t="shared" si="109"/>
        <v/>
      </c>
      <c r="H798" s="53" t="str">
        <f t="shared" si="110"/>
        <v/>
      </c>
      <c r="I798" s="40"/>
      <c r="J798" s="54" t="str">
        <f t="shared" si="111"/>
        <v/>
      </c>
      <c r="K798" s="41" t="str">
        <f t="shared" si="112"/>
        <v/>
      </c>
      <c r="L798" s="55"/>
      <c r="M798" s="56">
        <f t="shared" si="113"/>
        <v>0</v>
      </c>
      <c r="N798" s="56">
        <f t="shared" si="114"/>
        <v>0</v>
      </c>
      <c r="O798" s="57"/>
      <c r="P798" s="40"/>
      <c r="Q798" s="52" t="str">
        <f>IF($D798="","",IF($K798&lt;&gt;"Balance Sheet / Clearing","-",IF(SUMPRODUCT(--(LEFT('7. Settlements'!$J$8:$J$107,7)=$A798),--('7. Settlements'!$M$8:$M$107="Tied out"))+SUMPRODUCT(--(LEFT('8. Transfers'!$H$9:$H$108,7)=$A798),--('8. Transfers'!$J$9:$J$108="Matched"))+SUMPRODUCT(--(LEFT('8. Transfers'!$I$9:$I$108,7)=$A798),--('8. Transfers'!$J$9:$J$108="Matched"))+IF($O798="",0,COUNTIFS('9. Payroll Allocation'!$B$234:$B$253,$O798,'9. Payroll Allocation'!$H$234:$H$253,"Tied out"))&gt;0,"Linked","MISSING DETAIL")))</f>
        <v/>
      </c>
      <c r="T798" s="58" t="str">
        <f t="shared" si="115"/>
        <v/>
      </c>
      <c r="U798" s="59" t="str">
        <f>IF($T798="","",COUNTIF($T$6:$T798,"?*"))</f>
        <v/>
      </c>
      <c r="V798" s="58" t="str">
        <f t="shared" si="116"/>
        <v/>
      </c>
    </row>
    <row r="799" spans="1:22" ht="12.95" customHeight="1" x14ac:dyDescent="0.25">
      <c r="A799" s="60" t="str">
        <f t="shared" si="108"/>
        <v/>
      </c>
      <c r="B799" s="37"/>
      <c r="C799" s="28"/>
      <c r="D799" s="35"/>
      <c r="E799" s="38"/>
      <c r="F799" s="38"/>
      <c r="G799" s="60" t="str">
        <f t="shared" si="109"/>
        <v/>
      </c>
      <c r="H799" s="61" t="str">
        <f t="shared" si="110"/>
        <v/>
      </c>
      <c r="I799" s="40"/>
      <c r="J799" s="62" t="str">
        <f t="shared" si="111"/>
        <v/>
      </c>
      <c r="K799" s="45" t="str">
        <f t="shared" si="112"/>
        <v/>
      </c>
      <c r="L799" s="55"/>
      <c r="M799" s="63">
        <f t="shared" si="113"/>
        <v>0</v>
      </c>
      <c r="N799" s="63">
        <f t="shared" si="114"/>
        <v>0</v>
      </c>
      <c r="O799" s="57"/>
      <c r="P799" s="40"/>
      <c r="Q799" s="60" t="str">
        <f>IF($D799="","",IF($K799&lt;&gt;"Balance Sheet / Clearing","-",IF(SUMPRODUCT(--(LEFT('7. Settlements'!$J$8:$J$107,7)=$A799),--('7. Settlements'!$M$8:$M$107="Tied out"))+SUMPRODUCT(--(LEFT('8. Transfers'!$H$9:$H$108,7)=$A799),--('8. Transfers'!$J$9:$J$108="Matched"))+SUMPRODUCT(--(LEFT('8. Transfers'!$I$9:$I$108,7)=$A799),--('8. Transfers'!$J$9:$J$108="Matched"))+IF($O799="",0,COUNTIFS('9. Payroll Allocation'!$B$234:$B$253,$O799,'9. Payroll Allocation'!$H$234:$H$253,"Tied out"))&gt;0,"Linked","MISSING DETAIL")))</f>
        <v/>
      </c>
      <c r="T799" s="58" t="str">
        <f t="shared" si="115"/>
        <v/>
      </c>
      <c r="U799" s="59" t="str">
        <f>IF($T799="","",COUNTIF($T$6:$T799,"?*"))</f>
        <v/>
      </c>
      <c r="V799" s="58" t="str">
        <f t="shared" si="116"/>
        <v/>
      </c>
    </row>
    <row r="800" spans="1:22" ht="12.95" customHeight="1" x14ac:dyDescent="0.25">
      <c r="A800" s="52" t="str">
        <f t="shared" si="108"/>
        <v/>
      </c>
      <c r="B800" s="37"/>
      <c r="C800" s="28"/>
      <c r="D800" s="35"/>
      <c r="E800" s="38"/>
      <c r="F800" s="38"/>
      <c r="G800" s="52" t="str">
        <f t="shared" si="109"/>
        <v/>
      </c>
      <c r="H800" s="53" t="str">
        <f t="shared" si="110"/>
        <v/>
      </c>
      <c r="I800" s="40"/>
      <c r="J800" s="54" t="str">
        <f t="shared" si="111"/>
        <v/>
      </c>
      <c r="K800" s="41" t="str">
        <f t="shared" si="112"/>
        <v/>
      </c>
      <c r="L800" s="55"/>
      <c r="M800" s="56">
        <f t="shared" si="113"/>
        <v>0</v>
      </c>
      <c r="N800" s="56">
        <f t="shared" si="114"/>
        <v>0</v>
      </c>
      <c r="O800" s="57"/>
      <c r="P800" s="40"/>
      <c r="Q800" s="52" t="str">
        <f>IF($D800="","",IF($K800&lt;&gt;"Balance Sheet / Clearing","-",IF(SUMPRODUCT(--(LEFT('7. Settlements'!$J$8:$J$107,7)=$A800),--('7. Settlements'!$M$8:$M$107="Tied out"))+SUMPRODUCT(--(LEFT('8. Transfers'!$H$9:$H$108,7)=$A800),--('8. Transfers'!$J$9:$J$108="Matched"))+SUMPRODUCT(--(LEFT('8. Transfers'!$I$9:$I$108,7)=$A800),--('8. Transfers'!$J$9:$J$108="Matched"))+IF($O800="",0,COUNTIFS('9. Payroll Allocation'!$B$234:$B$253,$O800,'9. Payroll Allocation'!$H$234:$H$253,"Tied out"))&gt;0,"Linked","MISSING DETAIL")))</f>
        <v/>
      </c>
      <c r="T800" s="58" t="str">
        <f t="shared" si="115"/>
        <v/>
      </c>
      <c r="U800" s="59" t="str">
        <f>IF($T800="","",COUNTIF($T$6:$T800,"?*"))</f>
        <v/>
      </c>
      <c r="V800" s="58" t="str">
        <f t="shared" si="116"/>
        <v/>
      </c>
    </row>
    <row r="801" spans="1:22" ht="12.95" customHeight="1" x14ac:dyDescent="0.25">
      <c r="A801" s="60" t="str">
        <f t="shared" si="108"/>
        <v/>
      </c>
      <c r="B801" s="37"/>
      <c r="C801" s="28"/>
      <c r="D801" s="35"/>
      <c r="E801" s="38"/>
      <c r="F801" s="38"/>
      <c r="G801" s="60" t="str">
        <f t="shared" si="109"/>
        <v/>
      </c>
      <c r="H801" s="61" t="str">
        <f t="shared" si="110"/>
        <v/>
      </c>
      <c r="I801" s="40"/>
      <c r="J801" s="62" t="str">
        <f t="shared" si="111"/>
        <v/>
      </c>
      <c r="K801" s="45" t="str">
        <f t="shared" si="112"/>
        <v/>
      </c>
      <c r="L801" s="55"/>
      <c r="M801" s="63">
        <f t="shared" si="113"/>
        <v>0</v>
      </c>
      <c r="N801" s="63">
        <f t="shared" si="114"/>
        <v>0</v>
      </c>
      <c r="O801" s="57"/>
      <c r="P801" s="40"/>
      <c r="Q801" s="60" t="str">
        <f>IF($D801="","",IF($K801&lt;&gt;"Balance Sheet / Clearing","-",IF(SUMPRODUCT(--(LEFT('7. Settlements'!$J$8:$J$107,7)=$A801),--('7. Settlements'!$M$8:$M$107="Tied out"))+SUMPRODUCT(--(LEFT('8. Transfers'!$H$9:$H$108,7)=$A801),--('8. Transfers'!$J$9:$J$108="Matched"))+SUMPRODUCT(--(LEFT('8. Transfers'!$I$9:$I$108,7)=$A801),--('8. Transfers'!$J$9:$J$108="Matched"))+IF($O801="",0,COUNTIFS('9. Payroll Allocation'!$B$234:$B$253,$O801,'9. Payroll Allocation'!$H$234:$H$253,"Tied out"))&gt;0,"Linked","MISSING DETAIL")))</f>
        <v/>
      </c>
      <c r="T801" s="58" t="str">
        <f t="shared" si="115"/>
        <v/>
      </c>
      <c r="U801" s="59" t="str">
        <f>IF($T801="","",COUNTIF($T$6:$T801,"?*"))</f>
        <v/>
      </c>
      <c r="V801" s="58" t="str">
        <f t="shared" si="116"/>
        <v/>
      </c>
    </row>
    <row r="802" spans="1:22" ht="12.95" customHeight="1" x14ac:dyDescent="0.25">
      <c r="A802" s="52" t="str">
        <f t="shared" si="108"/>
        <v/>
      </c>
      <c r="B802" s="37"/>
      <c r="C802" s="28"/>
      <c r="D802" s="35"/>
      <c r="E802" s="38"/>
      <c r="F802" s="38"/>
      <c r="G802" s="52" t="str">
        <f t="shared" si="109"/>
        <v/>
      </c>
      <c r="H802" s="53" t="str">
        <f t="shared" si="110"/>
        <v/>
      </c>
      <c r="I802" s="40"/>
      <c r="J802" s="54" t="str">
        <f t="shared" si="111"/>
        <v/>
      </c>
      <c r="K802" s="41" t="str">
        <f t="shared" si="112"/>
        <v/>
      </c>
      <c r="L802" s="55"/>
      <c r="M802" s="56">
        <f t="shared" si="113"/>
        <v>0</v>
      </c>
      <c r="N802" s="56">
        <f t="shared" si="114"/>
        <v>0</v>
      </c>
      <c r="O802" s="57"/>
      <c r="P802" s="40"/>
      <c r="Q802" s="52" t="str">
        <f>IF($D802="","",IF($K802&lt;&gt;"Balance Sheet / Clearing","-",IF(SUMPRODUCT(--(LEFT('7. Settlements'!$J$8:$J$107,7)=$A802),--('7. Settlements'!$M$8:$M$107="Tied out"))+SUMPRODUCT(--(LEFT('8. Transfers'!$H$9:$H$108,7)=$A802),--('8. Transfers'!$J$9:$J$108="Matched"))+SUMPRODUCT(--(LEFT('8. Transfers'!$I$9:$I$108,7)=$A802),--('8. Transfers'!$J$9:$J$108="Matched"))+IF($O802="",0,COUNTIFS('9. Payroll Allocation'!$B$234:$B$253,$O802,'9. Payroll Allocation'!$H$234:$H$253,"Tied out"))&gt;0,"Linked","MISSING DETAIL")))</f>
        <v/>
      </c>
      <c r="T802" s="58" t="str">
        <f t="shared" si="115"/>
        <v/>
      </c>
      <c r="U802" s="59" t="str">
        <f>IF($T802="","",COUNTIF($T$6:$T802,"?*"))</f>
        <v/>
      </c>
      <c r="V802" s="58" t="str">
        <f t="shared" si="116"/>
        <v/>
      </c>
    </row>
    <row r="803" spans="1:22" ht="12.95" customHeight="1" x14ac:dyDescent="0.25">
      <c r="A803" s="60" t="str">
        <f t="shared" si="108"/>
        <v/>
      </c>
      <c r="B803" s="37"/>
      <c r="C803" s="28"/>
      <c r="D803" s="35"/>
      <c r="E803" s="38"/>
      <c r="F803" s="38"/>
      <c r="G803" s="60" t="str">
        <f t="shared" si="109"/>
        <v/>
      </c>
      <c r="H803" s="61" t="str">
        <f t="shared" si="110"/>
        <v/>
      </c>
      <c r="I803" s="40"/>
      <c r="J803" s="62" t="str">
        <f t="shared" si="111"/>
        <v/>
      </c>
      <c r="K803" s="45" t="str">
        <f t="shared" si="112"/>
        <v/>
      </c>
      <c r="L803" s="55"/>
      <c r="M803" s="63">
        <f t="shared" si="113"/>
        <v>0</v>
      </c>
      <c r="N803" s="63">
        <f t="shared" si="114"/>
        <v>0</v>
      </c>
      <c r="O803" s="57"/>
      <c r="P803" s="40"/>
      <c r="Q803" s="60" t="str">
        <f>IF($D803="","",IF($K803&lt;&gt;"Balance Sheet / Clearing","-",IF(SUMPRODUCT(--(LEFT('7. Settlements'!$J$8:$J$107,7)=$A803),--('7. Settlements'!$M$8:$M$107="Tied out"))+SUMPRODUCT(--(LEFT('8. Transfers'!$H$9:$H$108,7)=$A803),--('8. Transfers'!$J$9:$J$108="Matched"))+SUMPRODUCT(--(LEFT('8. Transfers'!$I$9:$I$108,7)=$A803),--('8. Transfers'!$J$9:$J$108="Matched"))+IF($O803="",0,COUNTIFS('9. Payroll Allocation'!$B$234:$B$253,$O803,'9. Payroll Allocation'!$H$234:$H$253,"Tied out"))&gt;0,"Linked","MISSING DETAIL")))</f>
        <v/>
      </c>
      <c r="T803" s="58" t="str">
        <f t="shared" si="115"/>
        <v/>
      </c>
      <c r="U803" s="59" t="str">
        <f>IF($T803="","",COUNTIF($T$6:$T803,"?*"))</f>
        <v/>
      </c>
      <c r="V803" s="58" t="str">
        <f t="shared" si="116"/>
        <v/>
      </c>
    </row>
    <row r="804" spans="1:22" ht="12.95" customHeight="1" x14ac:dyDescent="0.25">
      <c r="A804" s="52" t="str">
        <f t="shared" si="108"/>
        <v/>
      </c>
      <c r="B804" s="37"/>
      <c r="C804" s="28"/>
      <c r="D804" s="35"/>
      <c r="E804" s="38"/>
      <c r="F804" s="38"/>
      <c r="G804" s="52" t="str">
        <f t="shared" si="109"/>
        <v/>
      </c>
      <c r="H804" s="53" t="str">
        <f t="shared" si="110"/>
        <v/>
      </c>
      <c r="I804" s="40"/>
      <c r="J804" s="54" t="str">
        <f t="shared" si="111"/>
        <v/>
      </c>
      <c r="K804" s="41" t="str">
        <f t="shared" si="112"/>
        <v/>
      </c>
      <c r="L804" s="55"/>
      <c r="M804" s="56">
        <f t="shared" si="113"/>
        <v>0</v>
      </c>
      <c r="N804" s="56">
        <f t="shared" si="114"/>
        <v>0</v>
      </c>
      <c r="O804" s="57"/>
      <c r="P804" s="40"/>
      <c r="Q804" s="52" t="str">
        <f>IF($D804="","",IF($K804&lt;&gt;"Balance Sheet / Clearing","-",IF(SUMPRODUCT(--(LEFT('7. Settlements'!$J$8:$J$107,7)=$A804),--('7. Settlements'!$M$8:$M$107="Tied out"))+SUMPRODUCT(--(LEFT('8. Transfers'!$H$9:$H$108,7)=$A804),--('8. Transfers'!$J$9:$J$108="Matched"))+SUMPRODUCT(--(LEFT('8. Transfers'!$I$9:$I$108,7)=$A804),--('8. Transfers'!$J$9:$J$108="Matched"))+IF($O804="",0,COUNTIFS('9. Payroll Allocation'!$B$234:$B$253,$O804,'9. Payroll Allocation'!$H$234:$H$253,"Tied out"))&gt;0,"Linked","MISSING DETAIL")))</f>
        <v/>
      </c>
      <c r="T804" s="58" t="str">
        <f t="shared" si="115"/>
        <v/>
      </c>
      <c r="U804" s="59" t="str">
        <f>IF($T804="","",COUNTIF($T$6:$T804,"?*"))</f>
        <v/>
      </c>
      <c r="V804" s="58" t="str">
        <f t="shared" si="116"/>
        <v/>
      </c>
    </row>
    <row r="805" spans="1:22" ht="12.95" customHeight="1" x14ac:dyDescent="0.25">
      <c r="A805" s="60" t="str">
        <f t="shared" si="108"/>
        <v/>
      </c>
      <c r="B805" s="37"/>
      <c r="C805" s="28"/>
      <c r="D805" s="35"/>
      <c r="E805" s="38"/>
      <c r="F805" s="38"/>
      <c r="G805" s="60" t="str">
        <f t="shared" si="109"/>
        <v/>
      </c>
      <c r="H805" s="61" t="str">
        <f t="shared" si="110"/>
        <v/>
      </c>
      <c r="I805" s="40"/>
      <c r="J805" s="62" t="str">
        <f t="shared" si="111"/>
        <v/>
      </c>
      <c r="K805" s="45" t="str">
        <f t="shared" si="112"/>
        <v/>
      </c>
      <c r="L805" s="55"/>
      <c r="M805" s="63">
        <f t="shared" si="113"/>
        <v>0</v>
      </c>
      <c r="N805" s="63">
        <f t="shared" si="114"/>
        <v>0</v>
      </c>
      <c r="O805" s="57"/>
      <c r="P805" s="40"/>
      <c r="Q805" s="60" t="str">
        <f>IF($D805="","",IF($K805&lt;&gt;"Balance Sheet / Clearing","-",IF(SUMPRODUCT(--(LEFT('7. Settlements'!$J$8:$J$107,7)=$A805),--('7. Settlements'!$M$8:$M$107="Tied out"))+SUMPRODUCT(--(LEFT('8. Transfers'!$H$9:$H$108,7)=$A805),--('8. Transfers'!$J$9:$J$108="Matched"))+SUMPRODUCT(--(LEFT('8. Transfers'!$I$9:$I$108,7)=$A805),--('8. Transfers'!$J$9:$J$108="Matched"))+IF($O805="",0,COUNTIFS('9. Payroll Allocation'!$B$234:$B$253,$O805,'9. Payroll Allocation'!$H$234:$H$253,"Tied out"))&gt;0,"Linked","MISSING DETAIL")))</f>
        <v/>
      </c>
      <c r="T805" s="58" t="str">
        <f t="shared" si="115"/>
        <v/>
      </c>
      <c r="U805" s="59" t="str">
        <f>IF($T805="","",COUNTIF($T$6:$T805,"?*"))</f>
        <v/>
      </c>
      <c r="V805" s="58" t="str">
        <f t="shared" si="116"/>
        <v/>
      </c>
    </row>
    <row r="806" spans="1:22" ht="12.95" customHeight="1" x14ac:dyDescent="0.25">
      <c r="A806" s="52" t="str">
        <f t="shared" si="108"/>
        <v/>
      </c>
      <c r="B806" s="37"/>
      <c r="C806" s="28"/>
      <c r="D806" s="35"/>
      <c r="E806" s="38"/>
      <c r="F806" s="38"/>
      <c r="G806" s="52" t="str">
        <f t="shared" si="109"/>
        <v/>
      </c>
      <c r="H806" s="53" t="str">
        <f t="shared" si="110"/>
        <v/>
      </c>
      <c r="I806" s="40"/>
      <c r="J806" s="54" t="str">
        <f t="shared" si="111"/>
        <v/>
      </c>
      <c r="K806" s="41" t="str">
        <f t="shared" si="112"/>
        <v/>
      </c>
      <c r="L806" s="55"/>
      <c r="M806" s="56">
        <f t="shared" si="113"/>
        <v>0</v>
      </c>
      <c r="N806" s="56">
        <f t="shared" si="114"/>
        <v>0</v>
      </c>
      <c r="O806" s="57"/>
      <c r="P806" s="40"/>
      <c r="Q806" s="52" t="str">
        <f>IF($D806="","",IF($K806&lt;&gt;"Balance Sheet / Clearing","-",IF(SUMPRODUCT(--(LEFT('7. Settlements'!$J$8:$J$107,7)=$A806),--('7. Settlements'!$M$8:$M$107="Tied out"))+SUMPRODUCT(--(LEFT('8. Transfers'!$H$9:$H$108,7)=$A806),--('8. Transfers'!$J$9:$J$108="Matched"))+SUMPRODUCT(--(LEFT('8. Transfers'!$I$9:$I$108,7)=$A806),--('8. Transfers'!$J$9:$J$108="Matched"))+IF($O806="",0,COUNTIFS('9. Payroll Allocation'!$B$234:$B$253,$O806,'9. Payroll Allocation'!$H$234:$H$253,"Tied out"))&gt;0,"Linked","MISSING DETAIL")))</f>
        <v/>
      </c>
      <c r="T806" s="58" t="str">
        <f t="shared" si="115"/>
        <v/>
      </c>
      <c r="U806" s="59" t="str">
        <f>IF($T806="","",COUNTIF($T$6:$T806,"?*"))</f>
        <v/>
      </c>
      <c r="V806" s="58" t="str">
        <f t="shared" si="116"/>
        <v/>
      </c>
    </row>
    <row r="807" spans="1:22" ht="12.95" customHeight="1" x14ac:dyDescent="0.25">
      <c r="A807" s="60" t="str">
        <f t="shared" si="108"/>
        <v/>
      </c>
      <c r="B807" s="37"/>
      <c r="C807" s="28"/>
      <c r="D807" s="35"/>
      <c r="E807" s="38"/>
      <c r="F807" s="38"/>
      <c r="G807" s="60" t="str">
        <f t="shared" si="109"/>
        <v/>
      </c>
      <c r="H807" s="61" t="str">
        <f t="shared" si="110"/>
        <v/>
      </c>
      <c r="I807" s="40"/>
      <c r="J807" s="62" t="str">
        <f t="shared" si="111"/>
        <v/>
      </c>
      <c r="K807" s="45" t="str">
        <f t="shared" si="112"/>
        <v/>
      </c>
      <c r="L807" s="55"/>
      <c r="M807" s="63">
        <f t="shared" si="113"/>
        <v>0</v>
      </c>
      <c r="N807" s="63">
        <f t="shared" si="114"/>
        <v>0</v>
      </c>
      <c r="O807" s="57"/>
      <c r="P807" s="40"/>
      <c r="Q807" s="60" t="str">
        <f>IF($D807="","",IF($K807&lt;&gt;"Balance Sheet / Clearing","-",IF(SUMPRODUCT(--(LEFT('7. Settlements'!$J$8:$J$107,7)=$A807),--('7. Settlements'!$M$8:$M$107="Tied out"))+SUMPRODUCT(--(LEFT('8. Transfers'!$H$9:$H$108,7)=$A807),--('8. Transfers'!$J$9:$J$108="Matched"))+SUMPRODUCT(--(LEFT('8. Transfers'!$I$9:$I$108,7)=$A807),--('8. Transfers'!$J$9:$J$108="Matched"))+IF($O807="",0,COUNTIFS('9. Payroll Allocation'!$B$234:$B$253,$O807,'9. Payroll Allocation'!$H$234:$H$253,"Tied out"))&gt;0,"Linked","MISSING DETAIL")))</f>
        <v/>
      </c>
      <c r="T807" s="58" t="str">
        <f t="shared" si="115"/>
        <v/>
      </c>
      <c r="U807" s="59" t="str">
        <f>IF($T807="","",COUNTIF($T$6:$T807,"?*"))</f>
        <v/>
      </c>
      <c r="V807" s="58" t="str">
        <f t="shared" si="116"/>
        <v/>
      </c>
    </row>
    <row r="808" spans="1:22" ht="12.95" customHeight="1" x14ac:dyDescent="0.25">
      <c r="A808" s="52" t="str">
        <f t="shared" si="108"/>
        <v/>
      </c>
      <c r="B808" s="37"/>
      <c r="C808" s="28"/>
      <c r="D808" s="35"/>
      <c r="E808" s="38"/>
      <c r="F808" s="38"/>
      <c r="G808" s="52" t="str">
        <f t="shared" si="109"/>
        <v/>
      </c>
      <c r="H808" s="53" t="str">
        <f t="shared" si="110"/>
        <v/>
      </c>
      <c r="I808" s="40"/>
      <c r="J808" s="54" t="str">
        <f t="shared" si="111"/>
        <v/>
      </c>
      <c r="K808" s="41" t="str">
        <f t="shared" si="112"/>
        <v/>
      </c>
      <c r="L808" s="55"/>
      <c r="M808" s="56">
        <f t="shared" si="113"/>
        <v>0</v>
      </c>
      <c r="N808" s="56">
        <f t="shared" si="114"/>
        <v>0</v>
      </c>
      <c r="O808" s="57"/>
      <c r="P808" s="40"/>
      <c r="Q808" s="52" t="str">
        <f>IF($D808="","",IF($K808&lt;&gt;"Balance Sheet / Clearing","-",IF(SUMPRODUCT(--(LEFT('7. Settlements'!$J$8:$J$107,7)=$A808),--('7. Settlements'!$M$8:$M$107="Tied out"))+SUMPRODUCT(--(LEFT('8. Transfers'!$H$9:$H$108,7)=$A808),--('8. Transfers'!$J$9:$J$108="Matched"))+SUMPRODUCT(--(LEFT('8. Transfers'!$I$9:$I$108,7)=$A808),--('8. Transfers'!$J$9:$J$108="Matched"))+IF($O808="",0,COUNTIFS('9. Payroll Allocation'!$B$234:$B$253,$O808,'9. Payroll Allocation'!$H$234:$H$253,"Tied out"))&gt;0,"Linked","MISSING DETAIL")))</f>
        <v/>
      </c>
      <c r="T808" s="58" t="str">
        <f t="shared" si="115"/>
        <v/>
      </c>
      <c r="U808" s="59" t="str">
        <f>IF($T808="","",COUNTIF($T$6:$T808,"?*"))</f>
        <v/>
      </c>
      <c r="V808" s="58" t="str">
        <f t="shared" si="116"/>
        <v/>
      </c>
    </row>
    <row r="809" spans="1:22" ht="12.95" customHeight="1" x14ac:dyDescent="0.25">
      <c r="A809" s="60" t="str">
        <f t="shared" si="108"/>
        <v/>
      </c>
      <c r="B809" s="37"/>
      <c r="C809" s="28"/>
      <c r="D809" s="35"/>
      <c r="E809" s="38"/>
      <c r="F809" s="38"/>
      <c r="G809" s="60" t="str">
        <f t="shared" si="109"/>
        <v/>
      </c>
      <c r="H809" s="61" t="str">
        <f t="shared" si="110"/>
        <v/>
      </c>
      <c r="I809" s="40"/>
      <c r="J809" s="62" t="str">
        <f t="shared" si="111"/>
        <v/>
      </c>
      <c r="K809" s="45" t="str">
        <f t="shared" si="112"/>
        <v/>
      </c>
      <c r="L809" s="55"/>
      <c r="M809" s="63">
        <f t="shared" si="113"/>
        <v>0</v>
      </c>
      <c r="N809" s="63">
        <f t="shared" si="114"/>
        <v>0</v>
      </c>
      <c r="O809" s="57"/>
      <c r="P809" s="40"/>
      <c r="Q809" s="60" t="str">
        <f>IF($D809="","",IF($K809&lt;&gt;"Balance Sheet / Clearing","-",IF(SUMPRODUCT(--(LEFT('7. Settlements'!$J$8:$J$107,7)=$A809),--('7. Settlements'!$M$8:$M$107="Tied out"))+SUMPRODUCT(--(LEFT('8. Transfers'!$H$9:$H$108,7)=$A809),--('8. Transfers'!$J$9:$J$108="Matched"))+SUMPRODUCT(--(LEFT('8. Transfers'!$I$9:$I$108,7)=$A809),--('8. Transfers'!$J$9:$J$108="Matched"))+IF($O809="",0,COUNTIFS('9. Payroll Allocation'!$B$234:$B$253,$O809,'9. Payroll Allocation'!$H$234:$H$253,"Tied out"))&gt;0,"Linked","MISSING DETAIL")))</f>
        <v/>
      </c>
      <c r="T809" s="58" t="str">
        <f t="shared" si="115"/>
        <v/>
      </c>
      <c r="U809" s="59" t="str">
        <f>IF($T809="","",COUNTIF($T$6:$T809,"?*"))</f>
        <v/>
      </c>
      <c r="V809" s="58" t="str">
        <f t="shared" si="116"/>
        <v/>
      </c>
    </row>
    <row r="810" spans="1:22" ht="12.95" customHeight="1" x14ac:dyDescent="0.25">
      <c r="A810" s="52" t="str">
        <f t="shared" si="108"/>
        <v/>
      </c>
      <c r="B810" s="37"/>
      <c r="C810" s="28"/>
      <c r="D810" s="35"/>
      <c r="E810" s="38"/>
      <c r="F810" s="38"/>
      <c r="G810" s="52" t="str">
        <f t="shared" si="109"/>
        <v/>
      </c>
      <c r="H810" s="53" t="str">
        <f t="shared" si="110"/>
        <v/>
      </c>
      <c r="I810" s="40"/>
      <c r="J810" s="54" t="str">
        <f t="shared" si="111"/>
        <v/>
      </c>
      <c r="K810" s="41" t="str">
        <f t="shared" si="112"/>
        <v/>
      </c>
      <c r="L810" s="55"/>
      <c r="M810" s="56">
        <f t="shared" si="113"/>
        <v>0</v>
      </c>
      <c r="N810" s="56">
        <f t="shared" si="114"/>
        <v>0</v>
      </c>
      <c r="O810" s="57"/>
      <c r="P810" s="40"/>
      <c r="Q810" s="52" t="str">
        <f>IF($D810="","",IF($K810&lt;&gt;"Balance Sheet / Clearing","-",IF(SUMPRODUCT(--(LEFT('7. Settlements'!$J$8:$J$107,7)=$A810),--('7. Settlements'!$M$8:$M$107="Tied out"))+SUMPRODUCT(--(LEFT('8. Transfers'!$H$9:$H$108,7)=$A810),--('8. Transfers'!$J$9:$J$108="Matched"))+SUMPRODUCT(--(LEFT('8. Transfers'!$I$9:$I$108,7)=$A810),--('8. Transfers'!$J$9:$J$108="Matched"))+IF($O810="",0,COUNTIFS('9. Payroll Allocation'!$B$234:$B$253,$O810,'9. Payroll Allocation'!$H$234:$H$253,"Tied out"))&gt;0,"Linked","MISSING DETAIL")))</f>
        <v/>
      </c>
      <c r="T810" s="58" t="str">
        <f t="shared" si="115"/>
        <v/>
      </c>
      <c r="U810" s="59" t="str">
        <f>IF($T810="","",COUNTIF($T$6:$T810,"?*"))</f>
        <v/>
      </c>
      <c r="V810" s="58" t="str">
        <f t="shared" si="116"/>
        <v/>
      </c>
    </row>
    <row r="811" spans="1:22" ht="12.95" customHeight="1" x14ac:dyDescent="0.25">
      <c r="A811" s="60" t="str">
        <f t="shared" si="108"/>
        <v/>
      </c>
      <c r="B811" s="37"/>
      <c r="C811" s="28"/>
      <c r="D811" s="35"/>
      <c r="E811" s="38"/>
      <c r="F811" s="38"/>
      <c r="G811" s="60" t="str">
        <f t="shared" si="109"/>
        <v/>
      </c>
      <c r="H811" s="61" t="str">
        <f t="shared" si="110"/>
        <v/>
      </c>
      <c r="I811" s="40"/>
      <c r="J811" s="62" t="str">
        <f t="shared" si="111"/>
        <v/>
      </c>
      <c r="K811" s="45" t="str">
        <f t="shared" si="112"/>
        <v/>
      </c>
      <c r="L811" s="55"/>
      <c r="M811" s="63">
        <f t="shared" si="113"/>
        <v>0</v>
      </c>
      <c r="N811" s="63">
        <f t="shared" si="114"/>
        <v>0</v>
      </c>
      <c r="O811" s="57"/>
      <c r="P811" s="40"/>
      <c r="Q811" s="60" t="str">
        <f>IF($D811="","",IF($K811&lt;&gt;"Balance Sheet / Clearing","-",IF(SUMPRODUCT(--(LEFT('7. Settlements'!$J$8:$J$107,7)=$A811),--('7. Settlements'!$M$8:$M$107="Tied out"))+SUMPRODUCT(--(LEFT('8. Transfers'!$H$9:$H$108,7)=$A811),--('8. Transfers'!$J$9:$J$108="Matched"))+SUMPRODUCT(--(LEFT('8. Transfers'!$I$9:$I$108,7)=$A811),--('8. Transfers'!$J$9:$J$108="Matched"))+IF($O811="",0,COUNTIFS('9. Payroll Allocation'!$B$234:$B$253,$O811,'9. Payroll Allocation'!$H$234:$H$253,"Tied out"))&gt;0,"Linked","MISSING DETAIL")))</f>
        <v/>
      </c>
      <c r="T811" s="58" t="str">
        <f t="shared" si="115"/>
        <v/>
      </c>
      <c r="U811" s="59" t="str">
        <f>IF($T811="","",COUNTIF($T$6:$T811,"?*"))</f>
        <v/>
      </c>
      <c r="V811" s="58" t="str">
        <f t="shared" si="116"/>
        <v/>
      </c>
    </row>
    <row r="812" spans="1:22" ht="12.95" customHeight="1" x14ac:dyDescent="0.25">
      <c r="A812" s="52" t="str">
        <f t="shared" si="108"/>
        <v/>
      </c>
      <c r="B812" s="37"/>
      <c r="C812" s="28"/>
      <c r="D812" s="35"/>
      <c r="E812" s="38"/>
      <c r="F812" s="38"/>
      <c r="G812" s="52" t="str">
        <f t="shared" si="109"/>
        <v/>
      </c>
      <c r="H812" s="53" t="str">
        <f t="shared" si="110"/>
        <v/>
      </c>
      <c r="I812" s="40"/>
      <c r="J812" s="54" t="str">
        <f t="shared" si="111"/>
        <v/>
      </c>
      <c r="K812" s="41" t="str">
        <f t="shared" si="112"/>
        <v/>
      </c>
      <c r="L812" s="55"/>
      <c r="M812" s="56">
        <f t="shared" si="113"/>
        <v>0</v>
      </c>
      <c r="N812" s="56">
        <f t="shared" si="114"/>
        <v>0</v>
      </c>
      <c r="O812" s="57"/>
      <c r="P812" s="40"/>
      <c r="Q812" s="52" t="str">
        <f>IF($D812="","",IF($K812&lt;&gt;"Balance Sheet / Clearing","-",IF(SUMPRODUCT(--(LEFT('7. Settlements'!$J$8:$J$107,7)=$A812),--('7. Settlements'!$M$8:$M$107="Tied out"))+SUMPRODUCT(--(LEFT('8. Transfers'!$H$9:$H$108,7)=$A812),--('8. Transfers'!$J$9:$J$108="Matched"))+SUMPRODUCT(--(LEFT('8. Transfers'!$I$9:$I$108,7)=$A812),--('8. Transfers'!$J$9:$J$108="Matched"))+IF($O812="",0,COUNTIFS('9. Payroll Allocation'!$B$234:$B$253,$O812,'9. Payroll Allocation'!$H$234:$H$253,"Tied out"))&gt;0,"Linked","MISSING DETAIL")))</f>
        <v/>
      </c>
      <c r="T812" s="58" t="str">
        <f t="shared" si="115"/>
        <v/>
      </c>
      <c r="U812" s="59" t="str">
        <f>IF($T812="","",COUNTIF($T$6:$T812,"?*"))</f>
        <v/>
      </c>
      <c r="V812" s="58" t="str">
        <f t="shared" si="116"/>
        <v/>
      </c>
    </row>
    <row r="813" spans="1:22" ht="12.95" customHeight="1" x14ac:dyDescent="0.25">
      <c r="A813" s="60" t="str">
        <f t="shared" si="108"/>
        <v/>
      </c>
      <c r="B813" s="37"/>
      <c r="C813" s="28"/>
      <c r="D813" s="35"/>
      <c r="E813" s="38"/>
      <c r="F813" s="38"/>
      <c r="G813" s="60" t="str">
        <f t="shared" si="109"/>
        <v/>
      </c>
      <c r="H813" s="61" t="str">
        <f t="shared" si="110"/>
        <v/>
      </c>
      <c r="I813" s="40"/>
      <c r="J813" s="62" t="str">
        <f t="shared" si="111"/>
        <v/>
      </c>
      <c r="K813" s="45" t="str">
        <f t="shared" si="112"/>
        <v/>
      </c>
      <c r="L813" s="55"/>
      <c r="M813" s="63">
        <f t="shared" si="113"/>
        <v>0</v>
      </c>
      <c r="N813" s="63">
        <f t="shared" si="114"/>
        <v>0</v>
      </c>
      <c r="O813" s="57"/>
      <c r="P813" s="40"/>
      <c r="Q813" s="60" t="str">
        <f>IF($D813="","",IF($K813&lt;&gt;"Balance Sheet / Clearing","-",IF(SUMPRODUCT(--(LEFT('7. Settlements'!$J$8:$J$107,7)=$A813),--('7. Settlements'!$M$8:$M$107="Tied out"))+SUMPRODUCT(--(LEFT('8. Transfers'!$H$9:$H$108,7)=$A813),--('8. Transfers'!$J$9:$J$108="Matched"))+SUMPRODUCT(--(LEFT('8. Transfers'!$I$9:$I$108,7)=$A813),--('8. Transfers'!$J$9:$J$108="Matched"))+IF($O813="",0,COUNTIFS('9. Payroll Allocation'!$B$234:$B$253,$O813,'9. Payroll Allocation'!$H$234:$H$253,"Tied out"))&gt;0,"Linked","MISSING DETAIL")))</f>
        <v/>
      </c>
      <c r="T813" s="58" t="str">
        <f t="shared" si="115"/>
        <v/>
      </c>
      <c r="U813" s="59" t="str">
        <f>IF($T813="","",COUNTIF($T$6:$T813,"?*"))</f>
        <v/>
      </c>
      <c r="V813" s="58" t="str">
        <f t="shared" si="116"/>
        <v/>
      </c>
    </row>
    <row r="814" spans="1:22" ht="12.95" customHeight="1" x14ac:dyDescent="0.25">
      <c r="A814" s="52" t="str">
        <f t="shared" si="108"/>
        <v/>
      </c>
      <c r="B814" s="37"/>
      <c r="C814" s="28"/>
      <c r="D814" s="35"/>
      <c r="E814" s="38"/>
      <c r="F814" s="38"/>
      <c r="G814" s="52" t="str">
        <f t="shared" si="109"/>
        <v/>
      </c>
      <c r="H814" s="53" t="str">
        <f t="shared" si="110"/>
        <v/>
      </c>
      <c r="I814" s="40"/>
      <c r="J814" s="54" t="str">
        <f t="shared" si="111"/>
        <v/>
      </c>
      <c r="K814" s="41" t="str">
        <f t="shared" si="112"/>
        <v/>
      </c>
      <c r="L814" s="55"/>
      <c r="M814" s="56">
        <f t="shared" si="113"/>
        <v>0</v>
      </c>
      <c r="N814" s="56">
        <f t="shared" si="114"/>
        <v>0</v>
      </c>
      <c r="O814" s="57"/>
      <c r="P814" s="40"/>
      <c r="Q814" s="52" t="str">
        <f>IF($D814="","",IF($K814&lt;&gt;"Balance Sheet / Clearing","-",IF(SUMPRODUCT(--(LEFT('7. Settlements'!$J$8:$J$107,7)=$A814),--('7. Settlements'!$M$8:$M$107="Tied out"))+SUMPRODUCT(--(LEFT('8. Transfers'!$H$9:$H$108,7)=$A814),--('8. Transfers'!$J$9:$J$108="Matched"))+SUMPRODUCT(--(LEFT('8. Transfers'!$I$9:$I$108,7)=$A814),--('8. Transfers'!$J$9:$J$108="Matched"))+IF($O814="",0,COUNTIFS('9. Payroll Allocation'!$B$234:$B$253,$O814,'9. Payroll Allocation'!$H$234:$H$253,"Tied out"))&gt;0,"Linked","MISSING DETAIL")))</f>
        <v/>
      </c>
      <c r="T814" s="58" t="str">
        <f t="shared" si="115"/>
        <v/>
      </c>
      <c r="U814" s="59" t="str">
        <f>IF($T814="","",COUNTIF($T$6:$T814,"?*"))</f>
        <v/>
      </c>
      <c r="V814" s="58" t="str">
        <f t="shared" si="116"/>
        <v/>
      </c>
    </row>
    <row r="815" spans="1:22" ht="12.95" customHeight="1" x14ac:dyDescent="0.25">
      <c r="A815" s="60" t="str">
        <f t="shared" si="108"/>
        <v/>
      </c>
      <c r="B815" s="37"/>
      <c r="C815" s="28"/>
      <c r="D815" s="35"/>
      <c r="E815" s="38"/>
      <c r="F815" s="38"/>
      <c r="G815" s="60" t="str">
        <f t="shared" si="109"/>
        <v/>
      </c>
      <c r="H815" s="61" t="str">
        <f t="shared" si="110"/>
        <v/>
      </c>
      <c r="I815" s="40"/>
      <c r="J815" s="62" t="str">
        <f t="shared" si="111"/>
        <v/>
      </c>
      <c r="K815" s="45" t="str">
        <f t="shared" si="112"/>
        <v/>
      </c>
      <c r="L815" s="55"/>
      <c r="M815" s="63">
        <f t="shared" si="113"/>
        <v>0</v>
      </c>
      <c r="N815" s="63">
        <f t="shared" si="114"/>
        <v>0</v>
      </c>
      <c r="O815" s="57"/>
      <c r="P815" s="40"/>
      <c r="Q815" s="60" t="str">
        <f>IF($D815="","",IF($K815&lt;&gt;"Balance Sheet / Clearing","-",IF(SUMPRODUCT(--(LEFT('7. Settlements'!$J$8:$J$107,7)=$A815),--('7. Settlements'!$M$8:$M$107="Tied out"))+SUMPRODUCT(--(LEFT('8. Transfers'!$H$9:$H$108,7)=$A815),--('8. Transfers'!$J$9:$J$108="Matched"))+SUMPRODUCT(--(LEFT('8. Transfers'!$I$9:$I$108,7)=$A815),--('8. Transfers'!$J$9:$J$108="Matched"))+IF($O815="",0,COUNTIFS('9. Payroll Allocation'!$B$234:$B$253,$O815,'9. Payroll Allocation'!$H$234:$H$253,"Tied out"))&gt;0,"Linked","MISSING DETAIL")))</f>
        <v/>
      </c>
      <c r="T815" s="58" t="str">
        <f t="shared" si="115"/>
        <v/>
      </c>
      <c r="U815" s="59" t="str">
        <f>IF($T815="","",COUNTIF($T$6:$T815,"?*"))</f>
        <v/>
      </c>
      <c r="V815" s="58" t="str">
        <f t="shared" si="116"/>
        <v/>
      </c>
    </row>
    <row r="816" spans="1:22" ht="12.95" customHeight="1" x14ac:dyDescent="0.25">
      <c r="A816" s="52" t="str">
        <f t="shared" si="108"/>
        <v/>
      </c>
      <c r="B816" s="37"/>
      <c r="C816" s="28"/>
      <c r="D816" s="35"/>
      <c r="E816" s="38"/>
      <c r="F816" s="38"/>
      <c r="G816" s="52" t="str">
        <f t="shared" si="109"/>
        <v/>
      </c>
      <c r="H816" s="53" t="str">
        <f t="shared" si="110"/>
        <v/>
      </c>
      <c r="I816" s="40"/>
      <c r="J816" s="54" t="str">
        <f t="shared" si="111"/>
        <v/>
      </c>
      <c r="K816" s="41" t="str">
        <f t="shared" si="112"/>
        <v/>
      </c>
      <c r="L816" s="55"/>
      <c r="M816" s="56">
        <f t="shared" si="113"/>
        <v>0</v>
      </c>
      <c r="N816" s="56">
        <f t="shared" si="114"/>
        <v>0</v>
      </c>
      <c r="O816" s="57"/>
      <c r="P816" s="40"/>
      <c r="Q816" s="52" t="str">
        <f>IF($D816="","",IF($K816&lt;&gt;"Balance Sheet / Clearing","-",IF(SUMPRODUCT(--(LEFT('7. Settlements'!$J$8:$J$107,7)=$A816),--('7. Settlements'!$M$8:$M$107="Tied out"))+SUMPRODUCT(--(LEFT('8. Transfers'!$H$9:$H$108,7)=$A816),--('8. Transfers'!$J$9:$J$108="Matched"))+SUMPRODUCT(--(LEFT('8. Transfers'!$I$9:$I$108,7)=$A816),--('8. Transfers'!$J$9:$J$108="Matched"))+IF($O816="",0,COUNTIFS('9. Payroll Allocation'!$B$234:$B$253,$O816,'9. Payroll Allocation'!$H$234:$H$253,"Tied out"))&gt;0,"Linked","MISSING DETAIL")))</f>
        <v/>
      </c>
      <c r="T816" s="58" t="str">
        <f t="shared" si="115"/>
        <v/>
      </c>
      <c r="U816" s="59" t="str">
        <f>IF($T816="","",COUNTIF($T$6:$T816,"?*"))</f>
        <v/>
      </c>
      <c r="V816" s="58" t="str">
        <f t="shared" si="116"/>
        <v/>
      </c>
    </row>
    <row r="817" spans="1:22" ht="12.95" customHeight="1" x14ac:dyDescent="0.25">
      <c r="A817" s="60" t="str">
        <f t="shared" si="108"/>
        <v/>
      </c>
      <c r="B817" s="37"/>
      <c r="C817" s="28"/>
      <c r="D817" s="35"/>
      <c r="E817" s="38"/>
      <c r="F817" s="38"/>
      <c r="G817" s="60" t="str">
        <f t="shared" si="109"/>
        <v/>
      </c>
      <c r="H817" s="61" t="str">
        <f t="shared" si="110"/>
        <v/>
      </c>
      <c r="I817" s="40"/>
      <c r="J817" s="62" t="str">
        <f t="shared" si="111"/>
        <v/>
      </c>
      <c r="K817" s="45" t="str">
        <f t="shared" si="112"/>
        <v/>
      </c>
      <c r="L817" s="55"/>
      <c r="M817" s="63">
        <f t="shared" si="113"/>
        <v>0</v>
      </c>
      <c r="N817" s="63">
        <f t="shared" si="114"/>
        <v>0</v>
      </c>
      <c r="O817" s="57"/>
      <c r="P817" s="40"/>
      <c r="Q817" s="60" t="str">
        <f>IF($D817="","",IF($K817&lt;&gt;"Balance Sheet / Clearing","-",IF(SUMPRODUCT(--(LEFT('7. Settlements'!$J$8:$J$107,7)=$A817),--('7. Settlements'!$M$8:$M$107="Tied out"))+SUMPRODUCT(--(LEFT('8. Transfers'!$H$9:$H$108,7)=$A817),--('8. Transfers'!$J$9:$J$108="Matched"))+SUMPRODUCT(--(LEFT('8. Transfers'!$I$9:$I$108,7)=$A817),--('8. Transfers'!$J$9:$J$108="Matched"))+IF($O817="",0,COUNTIFS('9. Payroll Allocation'!$B$234:$B$253,$O817,'9. Payroll Allocation'!$H$234:$H$253,"Tied out"))&gt;0,"Linked","MISSING DETAIL")))</f>
        <v/>
      </c>
      <c r="T817" s="58" t="str">
        <f t="shared" si="115"/>
        <v/>
      </c>
      <c r="U817" s="59" t="str">
        <f>IF($T817="","",COUNTIF($T$6:$T817,"?*"))</f>
        <v/>
      </c>
      <c r="V817" s="58" t="str">
        <f t="shared" si="116"/>
        <v/>
      </c>
    </row>
    <row r="818" spans="1:22" ht="12.95" customHeight="1" x14ac:dyDescent="0.25">
      <c r="A818" s="52" t="str">
        <f t="shared" si="108"/>
        <v/>
      </c>
      <c r="B818" s="37"/>
      <c r="C818" s="28"/>
      <c r="D818" s="35"/>
      <c r="E818" s="38"/>
      <c r="F818" s="38"/>
      <c r="G818" s="52" t="str">
        <f t="shared" si="109"/>
        <v/>
      </c>
      <c r="H818" s="53" t="str">
        <f t="shared" si="110"/>
        <v/>
      </c>
      <c r="I818" s="40"/>
      <c r="J818" s="54" t="str">
        <f t="shared" si="111"/>
        <v/>
      </c>
      <c r="K818" s="41" t="str">
        <f t="shared" si="112"/>
        <v/>
      </c>
      <c r="L818" s="55"/>
      <c r="M818" s="56">
        <f t="shared" si="113"/>
        <v>0</v>
      </c>
      <c r="N818" s="56">
        <f t="shared" si="114"/>
        <v>0</v>
      </c>
      <c r="O818" s="57"/>
      <c r="P818" s="40"/>
      <c r="Q818" s="52" t="str">
        <f>IF($D818="","",IF($K818&lt;&gt;"Balance Sheet / Clearing","-",IF(SUMPRODUCT(--(LEFT('7. Settlements'!$J$8:$J$107,7)=$A818),--('7. Settlements'!$M$8:$M$107="Tied out"))+SUMPRODUCT(--(LEFT('8. Transfers'!$H$9:$H$108,7)=$A818),--('8. Transfers'!$J$9:$J$108="Matched"))+SUMPRODUCT(--(LEFT('8. Transfers'!$I$9:$I$108,7)=$A818),--('8. Transfers'!$J$9:$J$108="Matched"))+IF($O818="",0,COUNTIFS('9. Payroll Allocation'!$B$234:$B$253,$O818,'9. Payroll Allocation'!$H$234:$H$253,"Tied out"))&gt;0,"Linked","MISSING DETAIL")))</f>
        <v/>
      </c>
      <c r="T818" s="58" t="str">
        <f t="shared" si="115"/>
        <v/>
      </c>
      <c r="U818" s="59" t="str">
        <f>IF($T818="","",COUNTIF($T$6:$T818,"?*"))</f>
        <v/>
      </c>
      <c r="V818" s="58" t="str">
        <f t="shared" si="116"/>
        <v/>
      </c>
    </row>
    <row r="819" spans="1:22" ht="12.95" customHeight="1" x14ac:dyDescent="0.25">
      <c r="A819" s="60" t="str">
        <f t="shared" si="108"/>
        <v/>
      </c>
      <c r="B819" s="37"/>
      <c r="C819" s="28"/>
      <c r="D819" s="35"/>
      <c r="E819" s="38"/>
      <c r="F819" s="38"/>
      <c r="G819" s="60" t="str">
        <f t="shared" si="109"/>
        <v/>
      </c>
      <c r="H819" s="61" t="str">
        <f t="shared" si="110"/>
        <v/>
      </c>
      <c r="I819" s="40"/>
      <c r="J819" s="62" t="str">
        <f t="shared" si="111"/>
        <v/>
      </c>
      <c r="K819" s="45" t="str">
        <f t="shared" si="112"/>
        <v/>
      </c>
      <c r="L819" s="55"/>
      <c r="M819" s="63">
        <f t="shared" si="113"/>
        <v>0</v>
      </c>
      <c r="N819" s="63">
        <f t="shared" si="114"/>
        <v>0</v>
      </c>
      <c r="O819" s="57"/>
      <c r="P819" s="40"/>
      <c r="Q819" s="60" t="str">
        <f>IF($D819="","",IF($K819&lt;&gt;"Balance Sheet / Clearing","-",IF(SUMPRODUCT(--(LEFT('7. Settlements'!$J$8:$J$107,7)=$A819),--('7. Settlements'!$M$8:$M$107="Tied out"))+SUMPRODUCT(--(LEFT('8. Transfers'!$H$9:$H$108,7)=$A819),--('8. Transfers'!$J$9:$J$108="Matched"))+SUMPRODUCT(--(LEFT('8. Transfers'!$I$9:$I$108,7)=$A819),--('8. Transfers'!$J$9:$J$108="Matched"))+IF($O819="",0,COUNTIFS('9. Payroll Allocation'!$B$234:$B$253,$O819,'9. Payroll Allocation'!$H$234:$H$253,"Tied out"))&gt;0,"Linked","MISSING DETAIL")))</f>
        <v/>
      </c>
      <c r="T819" s="58" t="str">
        <f t="shared" si="115"/>
        <v/>
      </c>
      <c r="U819" s="59" t="str">
        <f>IF($T819="","",COUNTIF($T$6:$T819,"?*"))</f>
        <v/>
      </c>
      <c r="V819" s="58" t="str">
        <f t="shared" si="116"/>
        <v/>
      </c>
    </row>
    <row r="820" spans="1:22" ht="12.95" customHeight="1" x14ac:dyDescent="0.25">
      <c r="A820" s="52" t="str">
        <f t="shared" si="108"/>
        <v/>
      </c>
      <c r="B820" s="37"/>
      <c r="C820" s="28"/>
      <c r="D820" s="35"/>
      <c r="E820" s="38"/>
      <c r="F820" s="38"/>
      <c r="G820" s="52" t="str">
        <f t="shared" si="109"/>
        <v/>
      </c>
      <c r="H820" s="53" t="str">
        <f t="shared" si="110"/>
        <v/>
      </c>
      <c r="I820" s="40"/>
      <c r="J820" s="54" t="str">
        <f t="shared" si="111"/>
        <v/>
      </c>
      <c r="K820" s="41" t="str">
        <f t="shared" si="112"/>
        <v/>
      </c>
      <c r="L820" s="55"/>
      <c r="M820" s="56">
        <f t="shared" si="113"/>
        <v>0</v>
      </c>
      <c r="N820" s="56">
        <f t="shared" si="114"/>
        <v>0</v>
      </c>
      <c r="O820" s="57"/>
      <c r="P820" s="40"/>
      <c r="Q820" s="52" t="str">
        <f>IF($D820="","",IF($K820&lt;&gt;"Balance Sheet / Clearing","-",IF(SUMPRODUCT(--(LEFT('7. Settlements'!$J$8:$J$107,7)=$A820),--('7. Settlements'!$M$8:$M$107="Tied out"))+SUMPRODUCT(--(LEFT('8. Transfers'!$H$9:$H$108,7)=$A820),--('8. Transfers'!$J$9:$J$108="Matched"))+SUMPRODUCT(--(LEFT('8. Transfers'!$I$9:$I$108,7)=$A820),--('8. Transfers'!$J$9:$J$108="Matched"))+IF($O820="",0,COUNTIFS('9. Payroll Allocation'!$B$234:$B$253,$O820,'9. Payroll Allocation'!$H$234:$H$253,"Tied out"))&gt;0,"Linked","MISSING DETAIL")))</f>
        <v/>
      </c>
      <c r="T820" s="58" t="str">
        <f t="shared" si="115"/>
        <v/>
      </c>
      <c r="U820" s="59" t="str">
        <f>IF($T820="","",COUNTIF($T$6:$T820,"?*"))</f>
        <v/>
      </c>
      <c r="V820" s="58" t="str">
        <f t="shared" si="116"/>
        <v/>
      </c>
    </row>
    <row r="821" spans="1:22" ht="12.95" customHeight="1" x14ac:dyDescent="0.25">
      <c r="A821" s="60" t="str">
        <f t="shared" si="108"/>
        <v/>
      </c>
      <c r="B821" s="37"/>
      <c r="C821" s="28"/>
      <c r="D821" s="35"/>
      <c r="E821" s="38"/>
      <c r="F821" s="38"/>
      <c r="G821" s="60" t="str">
        <f t="shared" si="109"/>
        <v/>
      </c>
      <c r="H821" s="61" t="str">
        <f t="shared" si="110"/>
        <v/>
      </c>
      <c r="I821" s="40"/>
      <c r="J821" s="62" t="str">
        <f t="shared" si="111"/>
        <v/>
      </c>
      <c r="K821" s="45" t="str">
        <f t="shared" si="112"/>
        <v/>
      </c>
      <c r="L821" s="55"/>
      <c r="M821" s="63">
        <f t="shared" si="113"/>
        <v>0</v>
      </c>
      <c r="N821" s="63">
        <f t="shared" si="114"/>
        <v>0</v>
      </c>
      <c r="O821" s="57"/>
      <c r="P821" s="40"/>
      <c r="Q821" s="60" t="str">
        <f>IF($D821="","",IF($K821&lt;&gt;"Balance Sheet / Clearing","-",IF(SUMPRODUCT(--(LEFT('7. Settlements'!$J$8:$J$107,7)=$A821),--('7. Settlements'!$M$8:$M$107="Tied out"))+SUMPRODUCT(--(LEFT('8. Transfers'!$H$9:$H$108,7)=$A821),--('8. Transfers'!$J$9:$J$108="Matched"))+SUMPRODUCT(--(LEFT('8. Transfers'!$I$9:$I$108,7)=$A821),--('8. Transfers'!$J$9:$J$108="Matched"))+IF($O821="",0,COUNTIFS('9. Payroll Allocation'!$B$234:$B$253,$O821,'9. Payroll Allocation'!$H$234:$H$253,"Tied out"))&gt;0,"Linked","MISSING DETAIL")))</f>
        <v/>
      </c>
      <c r="T821" s="58" t="str">
        <f t="shared" si="115"/>
        <v/>
      </c>
      <c r="U821" s="59" t="str">
        <f>IF($T821="","",COUNTIF($T$6:$T821,"?*"))</f>
        <v/>
      </c>
      <c r="V821" s="58" t="str">
        <f t="shared" si="116"/>
        <v/>
      </c>
    </row>
    <row r="822" spans="1:22" ht="12.95" customHeight="1" x14ac:dyDescent="0.25">
      <c r="A822" s="52" t="str">
        <f t="shared" si="108"/>
        <v/>
      </c>
      <c r="B822" s="37"/>
      <c r="C822" s="28"/>
      <c r="D822" s="35"/>
      <c r="E822" s="38"/>
      <c r="F822" s="38"/>
      <c r="G822" s="52" t="str">
        <f t="shared" si="109"/>
        <v/>
      </c>
      <c r="H822" s="53" t="str">
        <f t="shared" si="110"/>
        <v/>
      </c>
      <c r="I822" s="40"/>
      <c r="J822" s="54" t="str">
        <f t="shared" si="111"/>
        <v/>
      </c>
      <c r="K822" s="41" t="str">
        <f t="shared" si="112"/>
        <v/>
      </c>
      <c r="L822" s="55"/>
      <c r="M822" s="56">
        <f t="shared" si="113"/>
        <v>0</v>
      </c>
      <c r="N822" s="56">
        <f t="shared" si="114"/>
        <v>0</v>
      </c>
      <c r="O822" s="57"/>
      <c r="P822" s="40"/>
      <c r="Q822" s="52" t="str">
        <f>IF($D822="","",IF($K822&lt;&gt;"Balance Sheet / Clearing","-",IF(SUMPRODUCT(--(LEFT('7. Settlements'!$J$8:$J$107,7)=$A822),--('7. Settlements'!$M$8:$M$107="Tied out"))+SUMPRODUCT(--(LEFT('8. Transfers'!$H$9:$H$108,7)=$A822),--('8. Transfers'!$J$9:$J$108="Matched"))+SUMPRODUCT(--(LEFT('8. Transfers'!$I$9:$I$108,7)=$A822),--('8. Transfers'!$J$9:$J$108="Matched"))+IF($O822="",0,COUNTIFS('9. Payroll Allocation'!$B$234:$B$253,$O822,'9. Payroll Allocation'!$H$234:$H$253,"Tied out"))&gt;0,"Linked","MISSING DETAIL")))</f>
        <v/>
      </c>
      <c r="T822" s="58" t="str">
        <f t="shared" si="115"/>
        <v/>
      </c>
      <c r="U822" s="59" t="str">
        <f>IF($T822="","",COUNTIF($T$6:$T822,"?*"))</f>
        <v/>
      </c>
      <c r="V822" s="58" t="str">
        <f t="shared" si="116"/>
        <v/>
      </c>
    </row>
    <row r="823" spans="1:22" ht="12.95" customHeight="1" x14ac:dyDescent="0.25">
      <c r="A823" s="60" t="str">
        <f t="shared" si="108"/>
        <v/>
      </c>
      <c r="B823" s="37"/>
      <c r="C823" s="28"/>
      <c r="D823" s="35"/>
      <c r="E823" s="38"/>
      <c r="F823" s="38"/>
      <c r="G823" s="60" t="str">
        <f t="shared" si="109"/>
        <v/>
      </c>
      <c r="H823" s="61" t="str">
        <f t="shared" si="110"/>
        <v/>
      </c>
      <c r="I823" s="40"/>
      <c r="J823" s="62" t="str">
        <f t="shared" si="111"/>
        <v/>
      </c>
      <c r="K823" s="45" t="str">
        <f t="shared" si="112"/>
        <v/>
      </c>
      <c r="L823" s="55"/>
      <c r="M823" s="63">
        <f t="shared" si="113"/>
        <v>0</v>
      </c>
      <c r="N823" s="63">
        <f t="shared" si="114"/>
        <v>0</v>
      </c>
      <c r="O823" s="57"/>
      <c r="P823" s="40"/>
      <c r="Q823" s="60" t="str">
        <f>IF($D823="","",IF($K823&lt;&gt;"Balance Sheet / Clearing","-",IF(SUMPRODUCT(--(LEFT('7. Settlements'!$J$8:$J$107,7)=$A823),--('7. Settlements'!$M$8:$M$107="Tied out"))+SUMPRODUCT(--(LEFT('8. Transfers'!$H$9:$H$108,7)=$A823),--('8. Transfers'!$J$9:$J$108="Matched"))+SUMPRODUCT(--(LEFT('8. Transfers'!$I$9:$I$108,7)=$A823),--('8. Transfers'!$J$9:$J$108="Matched"))+IF($O823="",0,COUNTIFS('9. Payroll Allocation'!$B$234:$B$253,$O823,'9. Payroll Allocation'!$H$234:$H$253,"Tied out"))&gt;0,"Linked","MISSING DETAIL")))</f>
        <v/>
      </c>
      <c r="T823" s="58" t="str">
        <f t="shared" si="115"/>
        <v/>
      </c>
      <c r="U823" s="59" t="str">
        <f>IF($T823="","",COUNTIF($T$6:$T823,"?*"))</f>
        <v/>
      </c>
      <c r="V823" s="58" t="str">
        <f t="shared" si="116"/>
        <v/>
      </c>
    </row>
    <row r="824" spans="1:22" ht="12.95" customHeight="1" x14ac:dyDescent="0.25">
      <c r="A824" s="52" t="str">
        <f t="shared" si="108"/>
        <v/>
      </c>
      <c r="B824" s="37"/>
      <c r="C824" s="28"/>
      <c r="D824" s="35"/>
      <c r="E824" s="38"/>
      <c r="F824" s="38"/>
      <c r="G824" s="52" t="str">
        <f t="shared" si="109"/>
        <v/>
      </c>
      <c r="H824" s="53" t="str">
        <f t="shared" si="110"/>
        <v/>
      </c>
      <c r="I824" s="40"/>
      <c r="J824" s="54" t="str">
        <f t="shared" si="111"/>
        <v/>
      </c>
      <c r="K824" s="41" t="str">
        <f t="shared" si="112"/>
        <v/>
      </c>
      <c r="L824" s="55"/>
      <c r="M824" s="56">
        <f t="shared" si="113"/>
        <v>0</v>
      </c>
      <c r="N824" s="56">
        <f t="shared" si="114"/>
        <v>0</v>
      </c>
      <c r="O824" s="57"/>
      <c r="P824" s="40"/>
      <c r="Q824" s="52" t="str">
        <f>IF($D824="","",IF($K824&lt;&gt;"Balance Sheet / Clearing","-",IF(SUMPRODUCT(--(LEFT('7. Settlements'!$J$8:$J$107,7)=$A824),--('7. Settlements'!$M$8:$M$107="Tied out"))+SUMPRODUCT(--(LEFT('8. Transfers'!$H$9:$H$108,7)=$A824),--('8. Transfers'!$J$9:$J$108="Matched"))+SUMPRODUCT(--(LEFT('8. Transfers'!$I$9:$I$108,7)=$A824),--('8. Transfers'!$J$9:$J$108="Matched"))+IF($O824="",0,COUNTIFS('9. Payroll Allocation'!$B$234:$B$253,$O824,'9. Payroll Allocation'!$H$234:$H$253,"Tied out"))&gt;0,"Linked","MISSING DETAIL")))</f>
        <v/>
      </c>
      <c r="T824" s="58" t="str">
        <f t="shared" si="115"/>
        <v/>
      </c>
      <c r="U824" s="59" t="str">
        <f>IF($T824="","",COUNTIF($T$6:$T824,"?*"))</f>
        <v/>
      </c>
      <c r="V824" s="58" t="str">
        <f t="shared" si="116"/>
        <v/>
      </c>
    </row>
    <row r="825" spans="1:22" ht="12.95" customHeight="1" x14ac:dyDescent="0.25">
      <c r="A825" s="60" t="str">
        <f t="shared" si="108"/>
        <v/>
      </c>
      <c r="B825" s="37"/>
      <c r="C825" s="28"/>
      <c r="D825" s="35"/>
      <c r="E825" s="38"/>
      <c r="F825" s="38"/>
      <c r="G825" s="60" t="str">
        <f t="shared" si="109"/>
        <v/>
      </c>
      <c r="H825" s="61" t="str">
        <f t="shared" si="110"/>
        <v/>
      </c>
      <c r="I825" s="40"/>
      <c r="J825" s="62" t="str">
        <f t="shared" si="111"/>
        <v/>
      </c>
      <c r="K825" s="45" t="str">
        <f t="shared" si="112"/>
        <v/>
      </c>
      <c r="L825" s="55"/>
      <c r="M825" s="63">
        <f t="shared" si="113"/>
        <v>0</v>
      </c>
      <c r="N825" s="63">
        <f t="shared" si="114"/>
        <v>0</v>
      </c>
      <c r="O825" s="57"/>
      <c r="P825" s="40"/>
      <c r="Q825" s="60" t="str">
        <f>IF($D825="","",IF($K825&lt;&gt;"Balance Sheet / Clearing","-",IF(SUMPRODUCT(--(LEFT('7. Settlements'!$J$8:$J$107,7)=$A825),--('7. Settlements'!$M$8:$M$107="Tied out"))+SUMPRODUCT(--(LEFT('8. Transfers'!$H$9:$H$108,7)=$A825),--('8. Transfers'!$J$9:$J$108="Matched"))+SUMPRODUCT(--(LEFT('8. Transfers'!$I$9:$I$108,7)=$A825),--('8. Transfers'!$J$9:$J$108="Matched"))+IF($O825="",0,COUNTIFS('9. Payroll Allocation'!$B$234:$B$253,$O825,'9. Payroll Allocation'!$H$234:$H$253,"Tied out"))&gt;0,"Linked","MISSING DETAIL")))</f>
        <v/>
      </c>
      <c r="T825" s="58" t="str">
        <f t="shared" si="115"/>
        <v/>
      </c>
      <c r="U825" s="59" t="str">
        <f>IF($T825="","",COUNTIF($T$6:$T825,"?*"))</f>
        <v/>
      </c>
      <c r="V825" s="58" t="str">
        <f t="shared" si="116"/>
        <v/>
      </c>
    </row>
    <row r="826" spans="1:22" ht="12.95" customHeight="1" x14ac:dyDescent="0.25">
      <c r="A826" s="52" t="str">
        <f t="shared" si="108"/>
        <v/>
      </c>
      <c r="B826" s="37"/>
      <c r="C826" s="28"/>
      <c r="D826" s="35"/>
      <c r="E826" s="38"/>
      <c r="F826" s="38"/>
      <c r="G826" s="52" t="str">
        <f t="shared" si="109"/>
        <v/>
      </c>
      <c r="H826" s="53" t="str">
        <f t="shared" si="110"/>
        <v/>
      </c>
      <c r="I826" s="40"/>
      <c r="J826" s="54" t="str">
        <f t="shared" si="111"/>
        <v/>
      </c>
      <c r="K826" s="41" t="str">
        <f t="shared" si="112"/>
        <v/>
      </c>
      <c r="L826" s="55"/>
      <c r="M826" s="56">
        <f t="shared" si="113"/>
        <v>0</v>
      </c>
      <c r="N826" s="56">
        <f t="shared" si="114"/>
        <v>0</v>
      </c>
      <c r="O826" s="57"/>
      <c r="P826" s="40"/>
      <c r="Q826" s="52" t="str">
        <f>IF($D826="","",IF($K826&lt;&gt;"Balance Sheet / Clearing","-",IF(SUMPRODUCT(--(LEFT('7. Settlements'!$J$8:$J$107,7)=$A826),--('7. Settlements'!$M$8:$M$107="Tied out"))+SUMPRODUCT(--(LEFT('8. Transfers'!$H$9:$H$108,7)=$A826),--('8. Transfers'!$J$9:$J$108="Matched"))+SUMPRODUCT(--(LEFT('8. Transfers'!$I$9:$I$108,7)=$A826),--('8. Transfers'!$J$9:$J$108="Matched"))+IF($O826="",0,COUNTIFS('9. Payroll Allocation'!$B$234:$B$253,$O826,'9. Payroll Allocation'!$H$234:$H$253,"Tied out"))&gt;0,"Linked","MISSING DETAIL")))</f>
        <v/>
      </c>
      <c r="T826" s="58" t="str">
        <f t="shared" si="115"/>
        <v/>
      </c>
      <c r="U826" s="59" t="str">
        <f>IF($T826="","",COUNTIF($T$6:$T826,"?*"))</f>
        <v/>
      </c>
      <c r="V826" s="58" t="str">
        <f t="shared" si="116"/>
        <v/>
      </c>
    </row>
    <row r="827" spans="1:22" ht="12.95" customHeight="1" x14ac:dyDescent="0.25">
      <c r="A827" s="60" t="str">
        <f t="shared" si="108"/>
        <v/>
      </c>
      <c r="B827" s="37"/>
      <c r="C827" s="28"/>
      <c r="D827" s="35"/>
      <c r="E827" s="38"/>
      <c r="F827" s="38"/>
      <c r="G827" s="60" t="str">
        <f t="shared" si="109"/>
        <v/>
      </c>
      <c r="H827" s="61" t="str">
        <f t="shared" si="110"/>
        <v/>
      </c>
      <c r="I827" s="40"/>
      <c r="J827" s="62" t="str">
        <f t="shared" si="111"/>
        <v/>
      </c>
      <c r="K827" s="45" t="str">
        <f t="shared" si="112"/>
        <v/>
      </c>
      <c r="L827" s="55"/>
      <c r="M827" s="63">
        <f t="shared" si="113"/>
        <v>0</v>
      </c>
      <c r="N827" s="63">
        <f t="shared" si="114"/>
        <v>0</v>
      </c>
      <c r="O827" s="57"/>
      <c r="P827" s="40"/>
      <c r="Q827" s="60" t="str">
        <f>IF($D827="","",IF($K827&lt;&gt;"Balance Sheet / Clearing","-",IF(SUMPRODUCT(--(LEFT('7. Settlements'!$J$8:$J$107,7)=$A827),--('7. Settlements'!$M$8:$M$107="Tied out"))+SUMPRODUCT(--(LEFT('8. Transfers'!$H$9:$H$108,7)=$A827),--('8. Transfers'!$J$9:$J$108="Matched"))+SUMPRODUCT(--(LEFT('8. Transfers'!$I$9:$I$108,7)=$A827),--('8. Transfers'!$J$9:$J$108="Matched"))+IF($O827="",0,COUNTIFS('9. Payroll Allocation'!$B$234:$B$253,$O827,'9. Payroll Allocation'!$H$234:$H$253,"Tied out"))&gt;0,"Linked","MISSING DETAIL")))</f>
        <v/>
      </c>
      <c r="T827" s="58" t="str">
        <f t="shared" si="115"/>
        <v/>
      </c>
      <c r="U827" s="59" t="str">
        <f>IF($T827="","",COUNTIF($T$6:$T827,"?*"))</f>
        <v/>
      </c>
      <c r="V827" s="58" t="str">
        <f t="shared" si="116"/>
        <v/>
      </c>
    </row>
    <row r="828" spans="1:22" ht="12.95" customHeight="1" x14ac:dyDescent="0.25">
      <c r="A828" s="52" t="str">
        <f t="shared" si="108"/>
        <v/>
      </c>
      <c r="B828" s="37"/>
      <c r="C828" s="28"/>
      <c r="D828" s="35"/>
      <c r="E828" s="38"/>
      <c r="F828" s="38"/>
      <c r="G828" s="52" t="str">
        <f t="shared" si="109"/>
        <v/>
      </c>
      <c r="H828" s="53" t="str">
        <f t="shared" si="110"/>
        <v/>
      </c>
      <c r="I828" s="40"/>
      <c r="J828" s="54" t="str">
        <f t="shared" si="111"/>
        <v/>
      </c>
      <c r="K828" s="41" t="str">
        <f t="shared" si="112"/>
        <v/>
      </c>
      <c r="L828" s="55"/>
      <c r="M828" s="56">
        <f t="shared" si="113"/>
        <v>0</v>
      </c>
      <c r="N828" s="56">
        <f t="shared" si="114"/>
        <v>0</v>
      </c>
      <c r="O828" s="57"/>
      <c r="P828" s="40"/>
      <c r="Q828" s="52" t="str">
        <f>IF($D828="","",IF($K828&lt;&gt;"Balance Sheet / Clearing","-",IF(SUMPRODUCT(--(LEFT('7. Settlements'!$J$8:$J$107,7)=$A828),--('7. Settlements'!$M$8:$M$107="Tied out"))+SUMPRODUCT(--(LEFT('8. Transfers'!$H$9:$H$108,7)=$A828),--('8. Transfers'!$J$9:$J$108="Matched"))+SUMPRODUCT(--(LEFT('8. Transfers'!$I$9:$I$108,7)=$A828),--('8. Transfers'!$J$9:$J$108="Matched"))+IF($O828="",0,COUNTIFS('9. Payroll Allocation'!$B$234:$B$253,$O828,'9. Payroll Allocation'!$H$234:$H$253,"Tied out"))&gt;0,"Linked","MISSING DETAIL")))</f>
        <v/>
      </c>
      <c r="T828" s="58" t="str">
        <f t="shared" si="115"/>
        <v/>
      </c>
      <c r="U828" s="59" t="str">
        <f>IF($T828="","",COUNTIF($T$6:$T828,"?*"))</f>
        <v/>
      </c>
      <c r="V828" s="58" t="str">
        <f t="shared" si="116"/>
        <v/>
      </c>
    </row>
    <row r="829" spans="1:22" ht="12.95" customHeight="1" x14ac:dyDescent="0.25">
      <c r="A829" s="60" t="str">
        <f t="shared" si="108"/>
        <v/>
      </c>
      <c r="B829" s="37"/>
      <c r="C829" s="28"/>
      <c r="D829" s="35"/>
      <c r="E829" s="38"/>
      <c r="F829" s="38"/>
      <c r="G829" s="60" t="str">
        <f t="shared" si="109"/>
        <v/>
      </c>
      <c r="H829" s="61" t="str">
        <f t="shared" si="110"/>
        <v/>
      </c>
      <c r="I829" s="40"/>
      <c r="J829" s="62" t="str">
        <f t="shared" si="111"/>
        <v/>
      </c>
      <c r="K829" s="45" t="str">
        <f t="shared" si="112"/>
        <v/>
      </c>
      <c r="L829" s="55"/>
      <c r="M829" s="63">
        <f t="shared" si="113"/>
        <v>0</v>
      </c>
      <c r="N829" s="63">
        <f t="shared" si="114"/>
        <v>0</v>
      </c>
      <c r="O829" s="57"/>
      <c r="P829" s="40"/>
      <c r="Q829" s="60" t="str">
        <f>IF($D829="","",IF($K829&lt;&gt;"Balance Sheet / Clearing","-",IF(SUMPRODUCT(--(LEFT('7. Settlements'!$J$8:$J$107,7)=$A829),--('7. Settlements'!$M$8:$M$107="Tied out"))+SUMPRODUCT(--(LEFT('8. Transfers'!$H$9:$H$108,7)=$A829),--('8. Transfers'!$J$9:$J$108="Matched"))+SUMPRODUCT(--(LEFT('8. Transfers'!$I$9:$I$108,7)=$A829),--('8. Transfers'!$J$9:$J$108="Matched"))+IF($O829="",0,COUNTIFS('9. Payroll Allocation'!$B$234:$B$253,$O829,'9. Payroll Allocation'!$H$234:$H$253,"Tied out"))&gt;0,"Linked","MISSING DETAIL")))</f>
        <v/>
      </c>
      <c r="T829" s="58" t="str">
        <f t="shared" si="115"/>
        <v/>
      </c>
      <c r="U829" s="59" t="str">
        <f>IF($T829="","",COUNTIF($T$6:$T829,"?*"))</f>
        <v/>
      </c>
      <c r="V829" s="58" t="str">
        <f t="shared" si="116"/>
        <v/>
      </c>
    </row>
    <row r="830" spans="1:22" ht="12.95" customHeight="1" x14ac:dyDescent="0.25">
      <c r="A830" s="52" t="str">
        <f t="shared" si="108"/>
        <v/>
      </c>
      <c r="B830" s="37"/>
      <c r="C830" s="28"/>
      <c r="D830" s="35"/>
      <c r="E830" s="38"/>
      <c r="F830" s="38"/>
      <c r="G830" s="52" t="str">
        <f t="shared" si="109"/>
        <v/>
      </c>
      <c r="H830" s="53" t="str">
        <f t="shared" si="110"/>
        <v/>
      </c>
      <c r="I830" s="40"/>
      <c r="J830" s="54" t="str">
        <f t="shared" si="111"/>
        <v/>
      </c>
      <c r="K830" s="41" t="str">
        <f t="shared" si="112"/>
        <v/>
      </c>
      <c r="L830" s="55"/>
      <c r="M830" s="56">
        <f t="shared" si="113"/>
        <v>0</v>
      </c>
      <c r="N830" s="56">
        <f t="shared" si="114"/>
        <v>0</v>
      </c>
      <c r="O830" s="57"/>
      <c r="P830" s="40"/>
      <c r="Q830" s="52" t="str">
        <f>IF($D830="","",IF($K830&lt;&gt;"Balance Sheet / Clearing","-",IF(SUMPRODUCT(--(LEFT('7. Settlements'!$J$8:$J$107,7)=$A830),--('7. Settlements'!$M$8:$M$107="Tied out"))+SUMPRODUCT(--(LEFT('8. Transfers'!$H$9:$H$108,7)=$A830),--('8. Transfers'!$J$9:$J$108="Matched"))+SUMPRODUCT(--(LEFT('8. Transfers'!$I$9:$I$108,7)=$A830),--('8. Transfers'!$J$9:$J$108="Matched"))+IF($O830="",0,COUNTIFS('9. Payroll Allocation'!$B$234:$B$253,$O830,'9. Payroll Allocation'!$H$234:$H$253,"Tied out"))&gt;0,"Linked","MISSING DETAIL")))</f>
        <v/>
      </c>
      <c r="T830" s="58" t="str">
        <f t="shared" si="115"/>
        <v/>
      </c>
      <c r="U830" s="59" t="str">
        <f>IF($T830="","",COUNTIF($T$6:$T830,"?*"))</f>
        <v/>
      </c>
      <c r="V830" s="58" t="str">
        <f t="shared" si="116"/>
        <v/>
      </c>
    </row>
    <row r="831" spans="1:22" ht="12.95" customHeight="1" x14ac:dyDescent="0.25">
      <c r="A831" s="60" t="str">
        <f t="shared" si="108"/>
        <v/>
      </c>
      <c r="B831" s="37"/>
      <c r="C831" s="28"/>
      <c r="D831" s="35"/>
      <c r="E831" s="38"/>
      <c r="F831" s="38"/>
      <c r="G831" s="60" t="str">
        <f t="shared" si="109"/>
        <v/>
      </c>
      <c r="H831" s="61" t="str">
        <f t="shared" si="110"/>
        <v/>
      </c>
      <c r="I831" s="40"/>
      <c r="J831" s="62" t="str">
        <f t="shared" si="111"/>
        <v/>
      </c>
      <c r="K831" s="45" t="str">
        <f t="shared" si="112"/>
        <v/>
      </c>
      <c r="L831" s="55"/>
      <c r="M831" s="63">
        <f t="shared" si="113"/>
        <v>0</v>
      </c>
      <c r="N831" s="63">
        <f t="shared" si="114"/>
        <v>0</v>
      </c>
      <c r="O831" s="57"/>
      <c r="P831" s="40"/>
      <c r="Q831" s="60" t="str">
        <f>IF($D831="","",IF($K831&lt;&gt;"Balance Sheet / Clearing","-",IF(SUMPRODUCT(--(LEFT('7. Settlements'!$J$8:$J$107,7)=$A831),--('7. Settlements'!$M$8:$M$107="Tied out"))+SUMPRODUCT(--(LEFT('8. Transfers'!$H$9:$H$108,7)=$A831),--('8. Transfers'!$J$9:$J$108="Matched"))+SUMPRODUCT(--(LEFT('8. Transfers'!$I$9:$I$108,7)=$A831),--('8. Transfers'!$J$9:$J$108="Matched"))+IF($O831="",0,COUNTIFS('9. Payroll Allocation'!$B$234:$B$253,$O831,'9. Payroll Allocation'!$H$234:$H$253,"Tied out"))&gt;0,"Linked","MISSING DETAIL")))</f>
        <v/>
      </c>
      <c r="T831" s="58" t="str">
        <f t="shared" si="115"/>
        <v/>
      </c>
      <c r="U831" s="59" t="str">
        <f>IF($T831="","",COUNTIF($T$6:$T831,"?*"))</f>
        <v/>
      </c>
      <c r="V831" s="58" t="str">
        <f t="shared" si="116"/>
        <v/>
      </c>
    </row>
    <row r="832" spans="1:22" ht="12.95" customHeight="1" x14ac:dyDescent="0.25">
      <c r="A832" s="52" t="str">
        <f t="shared" si="108"/>
        <v/>
      </c>
      <c r="B832" s="37"/>
      <c r="C832" s="28"/>
      <c r="D832" s="35"/>
      <c r="E832" s="38"/>
      <c r="F832" s="38"/>
      <c r="G832" s="52" t="str">
        <f t="shared" si="109"/>
        <v/>
      </c>
      <c r="H832" s="53" t="str">
        <f t="shared" si="110"/>
        <v/>
      </c>
      <c r="I832" s="40"/>
      <c r="J832" s="54" t="str">
        <f t="shared" si="111"/>
        <v/>
      </c>
      <c r="K832" s="41" t="str">
        <f t="shared" si="112"/>
        <v/>
      </c>
      <c r="L832" s="55"/>
      <c r="M832" s="56">
        <f t="shared" si="113"/>
        <v>0</v>
      </c>
      <c r="N832" s="56">
        <f t="shared" si="114"/>
        <v>0</v>
      </c>
      <c r="O832" s="57"/>
      <c r="P832" s="40"/>
      <c r="Q832" s="52" t="str">
        <f>IF($D832="","",IF($K832&lt;&gt;"Balance Sheet / Clearing","-",IF(SUMPRODUCT(--(LEFT('7. Settlements'!$J$8:$J$107,7)=$A832),--('7. Settlements'!$M$8:$M$107="Tied out"))+SUMPRODUCT(--(LEFT('8. Transfers'!$H$9:$H$108,7)=$A832),--('8. Transfers'!$J$9:$J$108="Matched"))+SUMPRODUCT(--(LEFT('8. Transfers'!$I$9:$I$108,7)=$A832),--('8. Transfers'!$J$9:$J$108="Matched"))+IF($O832="",0,COUNTIFS('9. Payroll Allocation'!$B$234:$B$253,$O832,'9. Payroll Allocation'!$H$234:$H$253,"Tied out"))&gt;0,"Linked","MISSING DETAIL")))</f>
        <v/>
      </c>
      <c r="T832" s="58" t="str">
        <f t="shared" si="115"/>
        <v/>
      </c>
      <c r="U832" s="59" t="str">
        <f>IF($T832="","",COUNTIF($T$6:$T832,"?*"))</f>
        <v/>
      </c>
      <c r="V832" s="58" t="str">
        <f t="shared" si="116"/>
        <v/>
      </c>
    </row>
    <row r="833" spans="1:22" ht="12.95" customHeight="1" x14ac:dyDescent="0.25">
      <c r="A833" s="60" t="str">
        <f t="shared" si="108"/>
        <v/>
      </c>
      <c r="B833" s="37"/>
      <c r="C833" s="28"/>
      <c r="D833" s="35"/>
      <c r="E833" s="38"/>
      <c r="F833" s="38"/>
      <c r="G833" s="60" t="str">
        <f t="shared" si="109"/>
        <v/>
      </c>
      <c r="H833" s="61" t="str">
        <f t="shared" si="110"/>
        <v/>
      </c>
      <c r="I833" s="40"/>
      <c r="J833" s="62" t="str">
        <f t="shared" si="111"/>
        <v/>
      </c>
      <c r="K833" s="45" t="str">
        <f t="shared" si="112"/>
        <v/>
      </c>
      <c r="L833" s="55"/>
      <c r="M833" s="63">
        <f t="shared" si="113"/>
        <v>0</v>
      </c>
      <c r="N833" s="63">
        <f t="shared" si="114"/>
        <v>0</v>
      </c>
      <c r="O833" s="57"/>
      <c r="P833" s="40"/>
      <c r="Q833" s="60" t="str">
        <f>IF($D833="","",IF($K833&lt;&gt;"Balance Sheet / Clearing","-",IF(SUMPRODUCT(--(LEFT('7. Settlements'!$J$8:$J$107,7)=$A833),--('7. Settlements'!$M$8:$M$107="Tied out"))+SUMPRODUCT(--(LEFT('8. Transfers'!$H$9:$H$108,7)=$A833),--('8. Transfers'!$J$9:$J$108="Matched"))+SUMPRODUCT(--(LEFT('8. Transfers'!$I$9:$I$108,7)=$A833),--('8. Transfers'!$J$9:$J$108="Matched"))+IF($O833="",0,COUNTIFS('9. Payroll Allocation'!$B$234:$B$253,$O833,'9. Payroll Allocation'!$H$234:$H$253,"Tied out"))&gt;0,"Linked","MISSING DETAIL")))</f>
        <v/>
      </c>
      <c r="T833" s="58" t="str">
        <f t="shared" si="115"/>
        <v/>
      </c>
      <c r="U833" s="59" t="str">
        <f>IF($T833="","",COUNTIF($T$6:$T833,"?*"))</f>
        <v/>
      </c>
      <c r="V833" s="58" t="str">
        <f t="shared" si="116"/>
        <v/>
      </c>
    </row>
    <row r="834" spans="1:22" ht="12.95" customHeight="1" x14ac:dyDescent="0.25">
      <c r="A834" s="52" t="str">
        <f t="shared" si="108"/>
        <v/>
      </c>
      <c r="B834" s="37"/>
      <c r="C834" s="28"/>
      <c r="D834" s="35"/>
      <c r="E834" s="38"/>
      <c r="F834" s="38"/>
      <c r="G834" s="52" t="str">
        <f t="shared" si="109"/>
        <v/>
      </c>
      <c r="H834" s="53" t="str">
        <f t="shared" si="110"/>
        <v/>
      </c>
      <c r="I834" s="40"/>
      <c r="J834" s="54" t="str">
        <f t="shared" si="111"/>
        <v/>
      </c>
      <c r="K834" s="41" t="str">
        <f t="shared" si="112"/>
        <v/>
      </c>
      <c r="L834" s="55"/>
      <c r="M834" s="56">
        <f t="shared" si="113"/>
        <v>0</v>
      </c>
      <c r="N834" s="56">
        <f t="shared" si="114"/>
        <v>0</v>
      </c>
      <c r="O834" s="57"/>
      <c r="P834" s="40"/>
      <c r="Q834" s="52" t="str">
        <f>IF($D834="","",IF($K834&lt;&gt;"Balance Sheet / Clearing","-",IF(SUMPRODUCT(--(LEFT('7. Settlements'!$J$8:$J$107,7)=$A834),--('7. Settlements'!$M$8:$M$107="Tied out"))+SUMPRODUCT(--(LEFT('8. Transfers'!$H$9:$H$108,7)=$A834),--('8. Transfers'!$J$9:$J$108="Matched"))+SUMPRODUCT(--(LEFT('8. Transfers'!$I$9:$I$108,7)=$A834),--('8. Transfers'!$J$9:$J$108="Matched"))+IF($O834="",0,COUNTIFS('9. Payroll Allocation'!$B$234:$B$253,$O834,'9. Payroll Allocation'!$H$234:$H$253,"Tied out"))&gt;0,"Linked","MISSING DETAIL")))</f>
        <v/>
      </c>
      <c r="T834" s="58" t="str">
        <f t="shared" si="115"/>
        <v/>
      </c>
      <c r="U834" s="59" t="str">
        <f>IF($T834="","",COUNTIF($T$6:$T834,"?*"))</f>
        <v/>
      </c>
      <c r="V834" s="58" t="str">
        <f t="shared" si="116"/>
        <v/>
      </c>
    </row>
    <row r="835" spans="1:22" ht="12.95" customHeight="1" x14ac:dyDescent="0.25">
      <c r="A835" s="60" t="str">
        <f t="shared" si="108"/>
        <v/>
      </c>
      <c r="B835" s="37"/>
      <c r="C835" s="28"/>
      <c r="D835" s="35"/>
      <c r="E835" s="38"/>
      <c r="F835" s="38"/>
      <c r="G835" s="60" t="str">
        <f t="shared" si="109"/>
        <v/>
      </c>
      <c r="H835" s="61" t="str">
        <f t="shared" si="110"/>
        <v/>
      </c>
      <c r="I835" s="40"/>
      <c r="J835" s="62" t="str">
        <f t="shared" si="111"/>
        <v/>
      </c>
      <c r="K835" s="45" t="str">
        <f t="shared" si="112"/>
        <v/>
      </c>
      <c r="L835" s="55"/>
      <c r="M835" s="63">
        <f t="shared" si="113"/>
        <v>0</v>
      </c>
      <c r="N835" s="63">
        <f t="shared" si="114"/>
        <v>0</v>
      </c>
      <c r="O835" s="57"/>
      <c r="P835" s="40"/>
      <c r="Q835" s="60" t="str">
        <f>IF($D835="","",IF($K835&lt;&gt;"Balance Sheet / Clearing","-",IF(SUMPRODUCT(--(LEFT('7. Settlements'!$J$8:$J$107,7)=$A835),--('7. Settlements'!$M$8:$M$107="Tied out"))+SUMPRODUCT(--(LEFT('8. Transfers'!$H$9:$H$108,7)=$A835),--('8. Transfers'!$J$9:$J$108="Matched"))+SUMPRODUCT(--(LEFT('8. Transfers'!$I$9:$I$108,7)=$A835),--('8. Transfers'!$J$9:$J$108="Matched"))+IF($O835="",0,COUNTIFS('9. Payroll Allocation'!$B$234:$B$253,$O835,'9. Payroll Allocation'!$H$234:$H$253,"Tied out"))&gt;0,"Linked","MISSING DETAIL")))</f>
        <v/>
      </c>
      <c r="T835" s="58" t="str">
        <f t="shared" si="115"/>
        <v/>
      </c>
      <c r="U835" s="59" t="str">
        <f>IF($T835="","",COUNTIF($T$6:$T835,"?*"))</f>
        <v/>
      </c>
      <c r="V835" s="58" t="str">
        <f t="shared" si="116"/>
        <v/>
      </c>
    </row>
    <row r="836" spans="1:22" ht="12.95" customHeight="1" x14ac:dyDescent="0.25">
      <c r="A836" s="52" t="str">
        <f t="shared" si="108"/>
        <v/>
      </c>
      <c r="B836" s="37"/>
      <c r="C836" s="28"/>
      <c r="D836" s="35"/>
      <c r="E836" s="38"/>
      <c r="F836" s="38"/>
      <c r="G836" s="52" t="str">
        <f t="shared" si="109"/>
        <v/>
      </c>
      <c r="H836" s="53" t="str">
        <f t="shared" si="110"/>
        <v/>
      </c>
      <c r="I836" s="40"/>
      <c r="J836" s="54" t="str">
        <f t="shared" si="111"/>
        <v/>
      </c>
      <c r="K836" s="41" t="str">
        <f t="shared" si="112"/>
        <v/>
      </c>
      <c r="L836" s="55"/>
      <c r="M836" s="56">
        <f t="shared" si="113"/>
        <v>0</v>
      </c>
      <c r="N836" s="56">
        <f t="shared" si="114"/>
        <v>0</v>
      </c>
      <c r="O836" s="57"/>
      <c r="P836" s="40"/>
      <c r="Q836" s="52" t="str">
        <f>IF($D836="","",IF($K836&lt;&gt;"Balance Sheet / Clearing","-",IF(SUMPRODUCT(--(LEFT('7. Settlements'!$J$8:$J$107,7)=$A836),--('7. Settlements'!$M$8:$M$107="Tied out"))+SUMPRODUCT(--(LEFT('8. Transfers'!$H$9:$H$108,7)=$A836),--('8. Transfers'!$J$9:$J$108="Matched"))+SUMPRODUCT(--(LEFT('8. Transfers'!$I$9:$I$108,7)=$A836),--('8. Transfers'!$J$9:$J$108="Matched"))+IF($O836="",0,COUNTIFS('9. Payroll Allocation'!$B$234:$B$253,$O836,'9. Payroll Allocation'!$H$234:$H$253,"Tied out"))&gt;0,"Linked","MISSING DETAIL")))</f>
        <v/>
      </c>
      <c r="T836" s="58" t="str">
        <f t="shared" si="115"/>
        <v/>
      </c>
      <c r="U836" s="59" t="str">
        <f>IF($T836="","",COUNTIF($T$6:$T836,"?*"))</f>
        <v/>
      </c>
      <c r="V836" s="58" t="str">
        <f t="shared" si="116"/>
        <v/>
      </c>
    </row>
    <row r="837" spans="1:22" ht="12.95" customHeight="1" x14ac:dyDescent="0.25">
      <c r="A837" s="60" t="str">
        <f t="shared" si="108"/>
        <v/>
      </c>
      <c r="B837" s="37"/>
      <c r="C837" s="28"/>
      <c r="D837" s="35"/>
      <c r="E837" s="38"/>
      <c r="F837" s="38"/>
      <c r="G837" s="60" t="str">
        <f t="shared" si="109"/>
        <v/>
      </c>
      <c r="H837" s="61" t="str">
        <f t="shared" si="110"/>
        <v/>
      </c>
      <c r="I837" s="40"/>
      <c r="J837" s="62" t="str">
        <f t="shared" si="111"/>
        <v/>
      </c>
      <c r="K837" s="45" t="str">
        <f t="shared" si="112"/>
        <v/>
      </c>
      <c r="L837" s="55"/>
      <c r="M837" s="63">
        <f t="shared" si="113"/>
        <v>0</v>
      </c>
      <c r="N837" s="63">
        <f t="shared" si="114"/>
        <v>0</v>
      </c>
      <c r="O837" s="57"/>
      <c r="P837" s="40"/>
      <c r="Q837" s="60" t="str">
        <f>IF($D837="","",IF($K837&lt;&gt;"Balance Sheet / Clearing","-",IF(SUMPRODUCT(--(LEFT('7. Settlements'!$J$8:$J$107,7)=$A837),--('7. Settlements'!$M$8:$M$107="Tied out"))+SUMPRODUCT(--(LEFT('8. Transfers'!$H$9:$H$108,7)=$A837),--('8. Transfers'!$J$9:$J$108="Matched"))+SUMPRODUCT(--(LEFT('8. Transfers'!$I$9:$I$108,7)=$A837),--('8. Transfers'!$J$9:$J$108="Matched"))+IF($O837="",0,COUNTIFS('9. Payroll Allocation'!$B$234:$B$253,$O837,'9. Payroll Allocation'!$H$234:$H$253,"Tied out"))&gt;0,"Linked","MISSING DETAIL")))</f>
        <v/>
      </c>
      <c r="T837" s="58" t="str">
        <f t="shared" si="115"/>
        <v/>
      </c>
      <c r="U837" s="59" t="str">
        <f>IF($T837="","",COUNTIF($T$6:$T837,"?*"))</f>
        <v/>
      </c>
      <c r="V837" s="58" t="str">
        <f t="shared" si="116"/>
        <v/>
      </c>
    </row>
    <row r="838" spans="1:22" ht="12.95" customHeight="1" x14ac:dyDescent="0.25">
      <c r="A838" s="52" t="str">
        <f t="shared" ref="A838:A901" si="117">IF($D838="","","TX-"&amp;TEXT(ROW()-5,"0000"))</f>
        <v/>
      </c>
      <c r="B838" s="37"/>
      <c r="C838" s="28"/>
      <c r="D838" s="35"/>
      <c r="E838" s="38"/>
      <c r="F838" s="38"/>
      <c r="G838" s="52" t="str">
        <f t="shared" ref="G838:G901" si="118">IF($D838="","",IFERROR(_xlfn.AGGREGATE(15,6,Rules_Pri/((ISNUMBER(SEARCH(Rules_Key,$D838)))*(Rules_Key&lt;&gt;"")*(Rules_Active="Yes")*((Rules_Dir="Any")+(Rules_Dir=IF(N($E838)&gt;0,"In","Out")))),1),""))</f>
        <v/>
      </c>
      <c r="H838" s="53" t="str">
        <f t="shared" ref="H838:H901" si="119">IF($D838="","",IF($G838="",IF(N($E838)&gt;0,"Uncategorized Deposit - NEEDS REVIEW","Uncategorized - NEEDS REVIEW"),INDEX(Rules_Cat,MATCH(1,INDEX(((ISNUMBER(SEARCH(Rules_Key,$D838)))*(Rules_Key&lt;&gt;"")*(Rules_Active="Yes")*((Rules_Dir="Any")+(Rules_Dir=IF(N($E838)&gt;0,"In","Out"))))*(Rules_Pri=$G838),0),0))))</f>
        <v/>
      </c>
      <c r="I838" s="40"/>
      <c r="J838" s="54" t="str">
        <f t="shared" ref="J838:J901" si="120">IF($D838="","",IF($I838&lt;&gt;"",$I838,$H838))</f>
        <v/>
      </c>
      <c r="K838" s="41" t="str">
        <f t="shared" ref="K838:K901" si="121">IF($J838="","",IFERROR(INDEX(Cat_Treatment,MATCH($J838,Cat_Name,0)),"Review Required"))</f>
        <v/>
      </c>
      <c r="L838" s="55"/>
      <c r="M838" s="56">
        <f t="shared" ref="M838:M901" si="122">IF($K838&lt;&gt;"Operating Expense",0,IF(AND($L838&lt;&gt;"",OR(N($L838)&lt;0,N($L838)&gt;1)),0,ROUND(N($F838)*IF($L838="",1,$L838),2)))</f>
        <v>0</v>
      </c>
      <c r="N838" s="56">
        <f t="shared" ref="N838:N901" si="123">IF($K838="Operating Revenue",ROUND(N($E838)-N($F838),2),0)</f>
        <v>0</v>
      </c>
      <c r="O838" s="57"/>
      <c r="P838" s="40"/>
      <c r="Q838" s="52" t="str">
        <f>IF($D838="","",IF($K838&lt;&gt;"Balance Sheet / Clearing","-",IF(SUMPRODUCT(--(LEFT('7. Settlements'!$J$8:$J$107,7)=$A838),--('7. Settlements'!$M$8:$M$107="Tied out"))+SUMPRODUCT(--(LEFT('8. Transfers'!$H$9:$H$108,7)=$A838),--('8. Transfers'!$J$9:$J$108="Matched"))+SUMPRODUCT(--(LEFT('8. Transfers'!$I$9:$I$108,7)=$A838),--('8. Transfers'!$J$9:$J$108="Matched"))+IF($O838="",0,COUNTIFS('9. Payroll Allocation'!$B$234:$B$253,$O838,'9. Payroll Allocation'!$H$234:$H$253,"Tied out"))&gt;0,"Linked","MISSING DETAIL")))</f>
        <v/>
      </c>
      <c r="T838" s="58" t="str">
        <f t="shared" ref="T838:T901" si="124">IF(OR($D838="",$K838&lt;&gt;"Balance Sheet / Clearing"),"",$A838&amp;" · "&amp;TEXT($B838,"mm/dd")&amp;" · "&amp;LEFT($D838,24)&amp;" · "&amp;TEXT(N($E838)+N($F838),"#,##0.00"))</f>
        <v/>
      </c>
      <c r="U838" s="59" t="str">
        <f>IF($T838="","",COUNTIF($T$6:$T838,"?*"))</f>
        <v/>
      </c>
      <c r="V838" s="58" t="str">
        <f t="shared" ref="V838:V901" si="125">IFERROR(INDEX($T$6:$T$1005,MATCH(ROW()-5,$U$6:$U$1005,0)),"")</f>
        <v/>
      </c>
    </row>
    <row r="839" spans="1:22" ht="12.95" customHeight="1" x14ac:dyDescent="0.25">
      <c r="A839" s="60" t="str">
        <f t="shared" si="117"/>
        <v/>
      </c>
      <c r="B839" s="37"/>
      <c r="C839" s="28"/>
      <c r="D839" s="35"/>
      <c r="E839" s="38"/>
      <c r="F839" s="38"/>
      <c r="G839" s="60" t="str">
        <f t="shared" si="118"/>
        <v/>
      </c>
      <c r="H839" s="61" t="str">
        <f t="shared" si="119"/>
        <v/>
      </c>
      <c r="I839" s="40"/>
      <c r="J839" s="62" t="str">
        <f t="shared" si="120"/>
        <v/>
      </c>
      <c r="K839" s="45" t="str">
        <f t="shared" si="121"/>
        <v/>
      </c>
      <c r="L839" s="55"/>
      <c r="M839" s="63">
        <f t="shared" si="122"/>
        <v>0</v>
      </c>
      <c r="N839" s="63">
        <f t="shared" si="123"/>
        <v>0</v>
      </c>
      <c r="O839" s="57"/>
      <c r="P839" s="40"/>
      <c r="Q839" s="60" t="str">
        <f>IF($D839="","",IF($K839&lt;&gt;"Balance Sheet / Clearing","-",IF(SUMPRODUCT(--(LEFT('7. Settlements'!$J$8:$J$107,7)=$A839),--('7. Settlements'!$M$8:$M$107="Tied out"))+SUMPRODUCT(--(LEFT('8. Transfers'!$H$9:$H$108,7)=$A839),--('8. Transfers'!$J$9:$J$108="Matched"))+SUMPRODUCT(--(LEFT('8. Transfers'!$I$9:$I$108,7)=$A839),--('8. Transfers'!$J$9:$J$108="Matched"))+IF($O839="",0,COUNTIFS('9. Payroll Allocation'!$B$234:$B$253,$O839,'9. Payroll Allocation'!$H$234:$H$253,"Tied out"))&gt;0,"Linked","MISSING DETAIL")))</f>
        <v/>
      </c>
      <c r="T839" s="58" t="str">
        <f t="shared" si="124"/>
        <v/>
      </c>
      <c r="U839" s="59" t="str">
        <f>IF($T839="","",COUNTIF($T$6:$T839,"?*"))</f>
        <v/>
      </c>
      <c r="V839" s="58" t="str">
        <f t="shared" si="125"/>
        <v/>
      </c>
    </row>
    <row r="840" spans="1:22" ht="12.95" customHeight="1" x14ac:dyDescent="0.25">
      <c r="A840" s="52" t="str">
        <f t="shared" si="117"/>
        <v/>
      </c>
      <c r="B840" s="37"/>
      <c r="C840" s="28"/>
      <c r="D840" s="35"/>
      <c r="E840" s="38"/>
      <c r="F840" s="38"/>
      <c r="G840" s="52" t="str">
        <f t="shared" si="118"/>
        <v/>
      </c>
      <c r="H840" s="53" t="str">
        <f t="shared" si="119"/>
        <v/>
      </c>
      <c r="I840" s="40"/>
      <c r="J840" s="54" t="str">
        <f t="shared" si="120"/>
        <v/>
      </c>
      <c r="K840" s="41" t="str">
        <f t="shared" si="121"/>
        <v/>
      </c>
      <c r="L840" s="55"/>
      <c r="M840" s="56">
        <f t="shared" si="122"/>
        <v>0</v>
      </c>
      <c r="N840" s="56">
        <f t="shared" si="123"/>
        <v>0</v>
      </c>
      <c r="O840" s="57"/>
      <c r="P840" s="40"/>
      <c r="Q840" s="52" t="str">
        <f>IF($D840="","",IF($K840&lt;&gt;"Balance Sheet / Clearing","-",IF(SUMPRODUCT(--(LEFT('7. Settlements'!$J$8:$J$107,7)=$A840),--('7. Settlements'!$M$8:$M$107="Tied out"))+SUMPRODUCT(--(LEFT('8. Transfers'!$H$9:$H$108,7)=$A840),--('8. Transfers'!$J$9:$J$108="Matched"))+SUMPRODUCT(--(LEFT('8. Transfers'!$I$9:$I$108,7)=$A840),--('8. Transfers'!$J$9:$J$108="Matched"))+IF($O840="",0,COUNTIFS('9. Payroll Allocation'!$B$234:$B$253,$O840,'9. Payroll Allocation'!$H$234:$H$253,"Tied out"))&gt;0,"Linked","MISSING DETAIL")))</f>
        <v/>
      </c>
      <c r="T840" s="58" t="str">
        <f t="shared" si="124"/>
        <v/>
      </c>
      <c r="U840" s="59" t="str">
        <f>IF($T840="","",COUNTIF($T$6:$T840,"?*"))</f>
        <v/>
      </c>
      <c r="V840" s="58" t="str">
        <f t="shared" si="125"/>
        <v/>
      </c>
    </row>
    <row r="841" spans="1:22" ht="12.95" customHeight="1" x14ac:dyDescent="0.25">
      <c r="A841" s="60" t="str">
        <f t="shared" si="117"/>
        <v/>
      </c>
      <c r="B841" s="37"/>
      <c r="C841" s="28"/>
      <c r="D841" s="35"/>
      <c r="E841" s="38"/>
      <c r="F841" s="38"/>
      <c r="G841" s="60" t="str">
        <f t="shared" si="118"/>
        <v/>
      </c>
      <c r="H841" s="61" t="str">
        <f t="shared" si="119"/>
        <v/>
      </c>
      <c r="I841" s="40"/>
      <c r="J841" s="62" t="str">
        <f t="shared" si="120"/>
        <v/>
      </c>
      <c r="K841" s="45" t="str">
        <f t="shared" si="121"/>
        <v/>
      </c>
      <c r="L841" s="55"/>
      <c r="M841" s="63">
        <f t="shared" si="122"/>
        <v>0</v>
      </c>
      <c r="N841" s="63">
        <f t="shared" si="123"/>
        <v>0</v>
      </c>
      <c r="O841" s="57"/>
      <c r="P841" s="40"/>
      <c r="Q841" s="60" t="str">
        <f>IF($D841="","",IF($K841&lt;&gt;"Balance Sheet / Clearing","-",IF(SUMPRODUCT(--(LEFT('7. Settlements'!$J$8:$J$107,7)=$A841),--('7. Settlements'!$M$8:$M$107="Tied out"))+SUMPRODUCT(--(LEFT('8. Transfers'!$H$9:$H$108,7)=$A841),--('8. Transfers'!$J$9:$J$108="Matched"))+SUMPRODUCT(--(LEFT('8. Transfers'!$I$9:$I$108,7)=$A841),--('8. Transfers'!$J$9:$J$108="Matched"))+IF($O841="",0,COUNTIFS('9. Payroll Allocation'!$B$234:$B$253,$O841,'9. Payroll Allocation'!$H$234:$H$253,"Tied out"))&gt;0,"Linked","MISSING DETAIL")))</f>
        <v/>
      </c>
      <c r="T841" s="58" t="str">
        <f t="shared" si="124"/>
        <v/>
      </c>
      <c r="U841" s="59" t="str">
        <f>IF($T841="","",COUNTIF($T$6:$T841,"?*"))</f>
        <v/>
      </c>
      <c r="V841" s="58" t="str">
        <f t="shared" si="125"/>
        <v/>
      </c>
    </row>
    <row r="842" spans="1:22" ht="12.95" customHeight="1" x14ac:dyDescent="0.25">
      <c r="A842" s="52" t="str">
        <f t="shared" si="117"/>
        <v/>
      </c>
      <c r="B842" s="37"/>
      <c r="C842" s="28"/>
      <c r="D842" s="35"/>
      <c r="E842" s="38"/>
      <c r="F842" s="38"/>
      <c r="G842" s="52" t="str">
        <f t="shared" si="118"/>
        <v/>
      </c>
      <c r="H842" s="53" t="str">
        <f t="shared" si="119"/>
        <v/>
      </c>
      <c r="I842" s="40"/>
      <c r="J842" s="54" t="str">
        <f t="shared" si="120"/>
        <v/>
      </c>
      <c r="K842" s="41" t="str">
        <f t="shared" si="121"/>
        <v/>
      </c>
      <c r="L842" s="55"/>
      <c r="M842" s="56">
        <f t="shared" si="122"/>
        <v>0</v>
      </c>
      <c r="N842" s="56">
        <f t="shared" si="123"/>
        <v>0</v>
      </c>
      <c r="O842" s="57"/>
      <c r="P842" s="40"/>
      <c r="Q842" s="52" t="str">
        <f>IF($D842="","",IF($K842&lt;&gt;"Balance Sheet / Clearing","-",IF(SUMPRODUCT(--(LEFT('7. Settlements'!$J$8:$J$107,7)=$A842),--('7. Settlements'!$M$8:$M$107="Tied out"))+SUMPRODUCT(--(LEFT('8. Transfers'!$H$9:$H$108,7)=$A842),--('8. Transfers'!$J$9:$J$108="Matched"))+SUMPRODUCT(--(LEFT('8. Transfers'!$I$9:$I$108,7)=$A842),--('8. Transfers'!$J$9:$J$108="Matched"))+IF($O842="",0,COUNTIFS('9. Payroll Allocation'!$B$234:$B$253,$O842,'9. Payroll Allocation'!$H$234:$H$253,"Tied out"))&gt;0,"Linked","MISSING DETAIL")))</f>
        <v/>
      </c>
      <c r="T842" s="58" t="str">
        <f t="shared" si="124"/>
        <v/>
      </c>
      <c r="U842" s="59" t="str">
        <f>IF($T842="","",COUNTIF($T$6:$T842,"?*"))</f>
        <v/>
      </c>
      <c r="V842" s="58" t="str">
        <f t="shared" si="125"/>
        <v/>
      </c>
    </row>
    <row r="843" spans="1:22" ht="12.95" customHeight="1" x14ac:dyDescent="0.25">
      <c r="A843" s="60" t="str">
        <f t="shared" si="117"/>
        <v/>
      </c>
      <c r="B843" s="37"/>
      <c r="C843" s="28"/>
      <c r="D843" s="35"/>
      <c r="E843" s="38"/>
      <c r="F843" s="38"/>
      <c r="G843" s="60" t="str">
        <f t="shared" si="118"/>
        <v/>
      </c>
      <c r="H843" s="61" t="str">
        <f t="shared" si="119"/>
        <v/>
      </c>
      <c r="I843" s="40"/>
      <c r="J843" s="62" t="str">
        <f t="shared" si="120"/>
        <v/>
      </c>
      <c r="K843" s="45" t="str">
        <f t="shared" si="121"/>
        <v/>
      </c>
      <c r="L843" s="55"/>
      <c r="M843" s="63">
        <f t="shared" si="122"/>
        <v>0</v>
      </c>
      <c r="N843" s="63">
        <f t="shared" si="123"/>
        <v>0</v>
      </c>
      <c r="O843" s="57"/>
      <c r="P843" s="40"/>
      <c r="Q843" s="60" t="str">
        <f>IF($D843="","",IF($K843&lt;&gt;"Balance Sheet / Clearing","-",IF(SUMPRODUCT(--(LEFT('7. Settlements'!$J$8:$J$107,7)=$A843),--('7. Settlements'!$M$8:$M$107="Tied out"))+SUMPRODUCT(--(LEFT('8. Transfers'!$H$9:$H$108,7)=$A843),--('8. Transfers'!$J$9:$J$108="Matched"))+SUMPRODUCT(--(LEFT('8. Transfers'!$I$9:$I$108,7)=$A843),--('8. Transfers'!$J$9:$J$108="Matched"))+IF($O843="",0,COUNTIFS('9. Payroll Allocation'!$B$234:$B$253,$O843,'9. Payroll Allocation'!$H$234:$H$253,"Tied out"))&gt;0,"Linked","MISSING DETAIL")))</f>
        <v/>
      </c>
      <c r="T843" s="58" t="str">
        <f t="shared" si="124"/>
        <v/>
      </c>
      <c r="U843" s="59" t="str">
        <f>IF($T843="","",COUNTIF($T$6:$T843,"?*"))</f>
        <v/>
      </c>
      <c r="V843" s="58" t="str">
        <f t="shared" si="125"/>
        <v/>
      </c>
    </row>
    <row r="844" spans="1:22" ht="12.95" customHeight="1" x14ac:dyDescent="0.25">
      <c r="A844" s="52" t="str">
        <f t="shared" si="117"/>
        <v/>
      </c>
      <c r="B844" s="37"/>
      <c r="C844" s="28"/>
      <c r="D844" s="35"/>
      <c r="E844" s="38"/>
      <c r="F844" s="38"/>
      <c r="G844" s="52" t="str">
        <f t="shared" si="118"/>
        <v/>
      </c>
      <c r="H844" s="53" t="str">
        <f t="shared" si="119"/>
        <v/>
      </c>
      <c r="I844" s="40"/>
      <c r="J844" s="54" t="str">
        <f t="shared" si="120"/>
        <v/>
      </c>
      <c r="K844" s="41" t="str">
        <f t="shared" si="121"/>
        <v/>
      </c>
      <c r="L844" s="55"/>
      <c r="M844" s="56">
        <f t="shared" si="122"/>
        <v>0</v>
      </c>
      <c r="N844" s="56">
        <f t="shared" si="123"/>
        <v>0</v>
      </c>
      <c r="O844" s="57"/>
      <c r="P844" s="40"/>
      <c r="Q844" s="52" t="str">
        <f>IF($D844="","",IF($K844&lt;&gt;"Balance Sheet / Clearing","-",IF(SUMPRODUCT(--(LEFT('7. Settlements'!$J$8:$J$107,7)=$A844),--('7. Settlements'!$M$8:$M$107="Tied out"))+SUMPRODUCT(--(LEFT('8. Transfers'!$H$9:$H$108,7)=$A844),--('8. Transfers'!$J$9:$J$108="Matched"))+SUMPRODUCT(--(LEFT('8. Transfers'!$I$9:$I$108,7)=$A844),--('8. Transfers'!$J$9:$J$108="Matched"))+IF($O844="",0,COUNTIFS('9. Payroll Allocation'!$B$234:$B$253,$O844,'9. Payroll Allocation'!$H$234:$H$253,"Tied out"))&gt;0,"Linked","MISSING DETAIL")))</f>
        <v/>
      </c>
      <c r="T844" s="58" t="str">
        <f t="shared" si="124"/>
        <v/>
      </c>
      <c r="U844" s="59" t="str">
        <f>IF($T844="","",COUNTIF($T$6:$T844,"?*"))</f>
        <v/>
      </c>
      <c r="V844" s="58" t="str">
        <f t="shared" si="125"/>
        <v/>
      </c>
    </row>
    <row r="845" spans="1:22" ht="12.95" customHeight="1" x14ac:dyDescent="0.25">
      <c r="A845" s="60" t="str">
        <f t="shared" si="117"/>
        <v/>
      </c>
      <c r="B845" s="37"/>
      <c r="C845" s="28"/>
      <c r="D845" s="35"/>
      <c r="E845" s="38"/>
      <c r="F845" s="38"/>
      <c r="G845" s="60" t="str">
        <f t="shared" si="118"/>
        <v/>
      </c>
      <c r="H845" s="61" t="str">
        <f t="shared" si="119"/>
        <v/>
      </c>
      <c r="I845" s="40"/>
      <c r="J845" s="62" t="str">
        <f t="shared" si="120"/>
        <v/>
      </c>
      <c r="K845" s="45" t="str">
        <f t="shared" si="121"/>
        <v/>
      </c>
      <c r="L845" s="55"/>
      <c r="M845" s="63">
        <f t="shared" si="122"/>
        <v>0</v>
      </c>
      <c r="N845" s="63">
        <f t="shared" si="123"/>
        <v>0</v>
      </c>
      <c r="O845" s="57"/>
      <c r="P845" s="40"/>
      <c r="Q845" s="60" t="str">
        <f>IF($D845="","",IF($K845&lt;&gt;"Balance Sheet / Clearing","-",IF(SUMPRODUCT(--(LEFT('7. Settlements'!$J$8:$J$107,7)=$A845),--('7. Settlements'!$M$8:$M$107="Tied out"))+SUMPRODUCT(--(LEFT('8. Transfers'!$H$9:$H$108,7)=$A845),--('8. Transfers'!$J$9:$J$108="Matched"))+SUMPRODUCT(--(LEFT('8. Transfers'!$I$9:$I$108,7)=$A845),--('8. Transfers'!$J$9:$J$108="Matched"))+IF($O845="",0,COUNTIFS('9. Payroll Allocation'!$B$234:$B$253,$O845,'9. Payroll Allocation'!$H$234:$H$253,"Tied out"))&gt;0,"Linked","MISSING DETAIL")))</f>
        <v/>
      </c>
      <c r="T845" s="58" t="str">
        <f t="shared" si="124"/>
        <v/>
      </c>
      <c r="U845" s="59" t="str">
        <f>IF($T845="","",COUNTIF($T$6:$T845,"?*"))</f>
        <v/>
      </c>
      <c r="V845" s="58" t="str">
        <f t="shared" si="125"/>
        <v/>
      </c>
    </row>
    <row r="846" spans="1:22" ht="12.95" customHeight="1" x14ac:dyDescent="0.25">
      <c r="A846" s="52" t="str">
        <f t="shared" si="117"/>
        <v/>
      </c>
      <c r="B846" s="37"/>
      <c r="C846" s="28"/>
      <c r="D846" s="35"/>
      <c r="E846" s="38"/>
      <c r="F846" s="38"/>
      <c r="G846" s="52" t="str">
        <f t="shared" si="118"/>
        <v/>
      </c>
      <c r="H846" s="53" t="str">
        <f t="shared" si="119"/>
        <v/>
      </c>
      <c r="I846" s="40"/>
      <c r="J846" s="54" t="str">
        <f t="shared" si="120"/>
        <v/>
      </c>
      <c r="K846" s="41" t="str">
        <f t="shared" si="121"/>
        <v/>
      </c>
      <c r="L846" s="55"/>
      <c r="M846" s="56">
        <f t="shared" si="122"/>
        <v>0</v>
      </c>
      <c r="N846" s="56">
        <f t="shared" si="123"/>
        <v>0</v>
      </c>
      <c r="O846" s="57"/>
      <c r="P846" s="40"/>
      <c r="Q846" s="52" t="str">
        <f>IF($D846="","",IF($K846&lt;&gt;"Balance Sheet / Clearing","-",IF(SUMPRODUCT(--(LEFT('7. Settlements'!$J$8:$J$107,7)=$A846),--('7. Settlements'!$M$8:$M$107="Tied out"))+SUMPRODUCT(--(LEFT('8. Transfers'!$H$9:$H$108,7)=$A846),--('8. Transfers'!$J$9:$J$108="Matched"))+SUMPRODUCT(--(LEFT('8. Transfers'!$I$9:$I$108,7)=$A846),--('8. Transfers'!$J$9:$J$108="Matched"))+IF($O846="",0,COUNTIFS('9. Payroll Allocation'!$B$234:$B$253,$O846,'9. Payroll Allocation'!$H$234:$H$253,"Tied out"))&gt;0,"Linked","MISSING DETAIL")))</f>
        <v/>
      </c>
      <c r="T846" s="58" t="str">
        <f t="shared" si="124"/>
        <v/>
      </c>
      <c r="U846" s="59" t="str">
        <f>IF($T846="","",COUNTIF($T$6:$T846,"?*"))</f>
        <v/>
      </c>
      <c r="V846" s="58" t="str">
        <f t="shared" si="125"/>
        <v/>
      </c>
    </row>
    <row r="847" spans="1:22" ht="12.95" customHeight="1" x14ac:dyDescent="0.25">
      <c r="A847" s="60" t="str">
        <f t="shared" si="117"/>
        <v/>
      </c>
      <c r="B847" s="37"/>
      <c r="C847" s="28"/>
      <c r="D847" s="35"/>
      <c r="E847" s="38"/>
      <c r="F847" s="38"/>
      <c r="G847" s="60" t="str">
        <f t="shared" si="118"/>
        <v/>
      </c>
      <c r="H847" s="61" t="str">
        <f t="shared" si="119"/>
        <v/>
      </c>
      <c r="I847" s="40"/>
      <c r="J847" s="62" t="str">
        <f t="shared" si="120"/>
        <v/>
      </c>
      <c r="K847" s="45" t="str">
        <f t="shared" si="121"/>
        <v/>
      </c>
      <c r="L847" s="55"/>
      <c r="M847" s="63">
        <f t="shared" si="122"/>
        <v>0</v>
      </c>
      <c r="N847" s="63">
        <f t="shared" si="123"/>
        <v>0</v>
      </c>
      <c r="O847" s="57"/>
      <c r="P847" s="40"/>
      <c r="Q847" s="60" t="str">
        <f>IF($D847="","",IF($K847&lt;&gt;"Balance Sheet / Clearing","-",IF(SUMPRODUCT(--(LEFT('7. Settlements'!$J$8:$J$107,7)=$A847),--('7. Settlements'!$M$8:$M$107="Tied out"))+SUMPRODUCT(--(LEFT('8. Transfers'!$H$9:$H$108,7)=$A847),--('8. Transfers'!$J$9:$J$108="Matched"))+SUMPRODUCT(--(LEFT('8. Transfers'!$I$9:$I$108,7)=$A847),--('8. Transfers'!$J$9:$J$108="Matched"))+IF($O847="",0,COUNTIFS('9. Payroll Allocation'!$B$234:$B$253,$O847,'9. Payroll Allocation'!$H$234:$H$253,"Tied out"))&gt;0,"Linked","MISSING DETAIL")))</f>
        <v/>
      </c>
      <c r="T847" s="58" t="str">
        <f t="shared" si="124"/>
        <v/>
      </c>
      <c r="U847" s="59" t="str">
        <f>IF($T847="","",COUNTIF($T$6:$T847,"?*"))</f>
        <v/>
      </c>
      <c r="V847" s="58" t="str">
        <f t="shared" si="125"/>
        <v/>
      </c>
    </row>
    <row r="848" spans="1:22" ht="12.95" customHeight="1" x14ac:dyDescent="0.25">
      <c r="A848" s="52" t="str">
        <f t="shared" si="117"/>
        <v/>
      </c>
      <c r="B848" s="37"/>
      <c r="C848" s="28"/>
      <c r="D848" s="35"/>
      <c r="E848" s="38"/>
      <c r="F848" s="38"/>
      <c r="G848" s="52" t="str">
        <f t="shared" si="118"/>
        <v/>
      </c>
      <c r="H848" s="53" t="str">
        <f t="shared" si="119"/>
        <v/>
      </c>
      <c r="I848" s="40"/>
      <c r="J848" s="54" t="str">
        <f t="shared" si="120"/>
        <v/>
      </c>
      <c r="K848" s="41" t="str">
        <f t="shared" si="121"/>
        <v/>
      </c>
      <c r="L848" s="55"/>
      <c r="M848" s="56">
        <f t="shared" si="122"/>
        <v>0</v>
      </c>
      <c r="N848" s="56">
        <f t="shared" si="123"/>
        <v>0</v>
      </c>
      <c r="O848" s="57"/>
      <c r="P848" s="40"/>
      <c r="Q848" s="52" t="str">
        <f>IF($D848="","",IF($K848&lt;&gt;"Balance Sheet / Clearing","-",IF(SUMPRODUCT(--(LEFT('7. Settlements'!$J$8:$J$107,7)=$A848),--('7. Settlements'!$M$8:$M$107="Tied out"))+SUMPRODUCT(--(LEFT('8. Transfers'!$H$9:$H$108,7)=$A848),--('8. Transfers'!$J$9:$J$108="Matched"))+SUMPRODUCT(--(LEFT('8. Transfers'!$I$9:$I$108,7)=$A848),--('8. Transfers'!$J$9:$J$108="Matched"))+IF($O848="",0,COUNTIFS('9. Payroll Allocation'!$B$234:$B$253,$O848,'9. Payroll Allocation'!$H$234:$H$253,"Tied out"))&gt;0,"Linked","MISSING DETAIL")))</f>
        <v/>
      </c>
      <c r="T848" s="58" t="str">
        <f t="shared" si="124"/>
        <v/>
      </c>
      <c r="U848" s="59" t="str">
        <f>IF($T848="","",COUNTIF($T$6:$T848,"?*"))</f>
        <v/>
      </c>
      <c r="V848" s="58" t="str">
        <f t="shared" si="125"/>
        <v/>
      </c>
    </row>
    <row r="849" spans="1:22" ht="12.95" customHeight="1" x14ac:dyDescent="0.25">
      <c r="A849" s="60" t="str">
        <f t="shared" si="117"/>
        <v/>
      </c>
      <c r="B849" s="37"/>
      <c r="C849" s="28"/>
      <c r="D849" s="35"/>
      <c r="E849" s="38"/>
      <c r="F849" s="38"/>
      <c r="G849" s="60" t="str">
        <f t="shared" si="118"/>
        <v/>
      </c>
      <c r="H849" s="61" t="str">
        <f t="shared" si="119"/>
        <v/>
      </c>
      <c r="I849" s="40"/>
      <c r="J849" s="62" t="str">
        <f t="shared" si="120"/>
        <v/>
      </c>
      <c r="K849" s="45" t="str">
        <f t="shared" si="121"/>
        <v/>
      </c>
      <c r="L849" s="55"/>
      <c r="M849" s="63">
        <f t="shared" si="122"/>
        <v>0</v>
      </c>
      <c r="N849" s="63">
        <f t="shared" si="123"/>
        <v>0</v>
      </c>
      <c r="O849" s="57"/>
      <c r="P849" s="40"/>
      <c r="Q849" s="60" t="str">
        <f>IF($D849="","",IF($K849&lt;&gt;"Balance Sheet / Clearing","-",IF(SUMPRODUCT(--(LEFT('7. Settlements'!$J$8:$J$107,7)=$A849),--('7. Settlements'!$M$8:$M$107="Tied out"))+SUMPRODUCT(--(LEFT('8. Transfers'!$H$9:$H$108,7)=$A849),--('8. Transfers'!$J$9:$J$108="Matched"))+SUMPRODUCT(--(LEFT('8. Transfers'!$I$9:$I$108,7)=$A849),--('8. Transfers'!$J$9:$J$108="Matched"))+IF($O849="",0,COUNTIFS('9. Payroll Allocation'!$B$234:$B$253,$O849,'9. Payroll Allocation'!$H$234:$H$253,"Tied out"))&gt;0,"Linked","MISSING DETAIL")))</f>
        <v/>
      </c>
      <c r="T849" s="58" t="str">
        <f t="shared" si="124"/>
        <v/>
      </c>
      <c r="U849" s="59" t="str">
        <f>IF($T849="","",COUNTIF($T$6:$T849,"?*"))</f>
        <v/>
      </c>
      <c r="V849" s="58" t="str">
        <f t="shared" si="125"/>
        <v/>
      </c>
    </row>
    <row r="850" spans="1:22" ht="12.95" customHeight="1" x14ac:dyDescent="0.25">
      <c r="A850" s="52" t="str">
        <f t="shared" si="117"/>
        <v/>
      </c>
      <c r="B850" s="37"/>
      <c r="C850" s="28"/>
      <c r="D850" s="35"/>
      <c r="E850" s="38"/>
      <c r="F850" s="38"/>
      <c r="G850" s="52" t="str">
        <f t="shared" si="118"/>
        <v/>
      </c>
      <c r="H850" s="53" t="str">
        <f t="shared" si="119"/>
        <v/>
      </c>
      <c r="I850" s="40"/>
      <c r="J850" s="54" t="str">
        <f t="shared" si="120"/>
        <v/>
      </c>
      <c r="K850" s="41" t="str">
        <f t="shared" si="121"/>
        <v/>
      </c>
      <c r="L850" s="55"/>
      <c r="M850" s="56">
        <f t="shared" si="122"/>
        <v>0</v>
      </c>
      <c r="N850" s="56">
        <f t="shared" si="123"/>
        <v>0</v>
      </c>
      <c r="O850" s="57"/>
      <c r="P850" s="40"/>
      <c r="Q850" s="52" t="str">
        <f>IF($D850="","",IF($K850&lt;&gt;"Balance Sheet / Clearing","-",IF(SUMPRODUCT(--(LEFT('7. Settlements'!$J$8:$J$107,7)=$A850),--('7. Settlements'!$M$8:$M$107="Tied out"))+SUMPRODUCT(--(LEFT('8. Transfers'!$H$9:$H$108,7)=$A850),--('8. Transfers'!$J$9:$J$108="Matched"))+SUMPRODUCT(--(LEFT('8. Transfers'!$I$9:$I$108,7)=$A850),--('8. Transfers'!$J$9:$J$108="Matched"))+IF($O850="",0,COUNTIFS('9. Payroll Allocation'!$B$234:$B$253,$O850,'9. Payroll Allocation'!$H$234:$H$253,"Tied out"))&gt;0,"Linked","MISSING DETAIL")))</f>
        <v/>
      </c>
      <c r="T850" s="58" t="str">
        <f t="shared" si="124"/>
        <v/>
      </c>
      <c r="U850" s="59" t="str">
        <f>IF($T850="","",COUNTIF($T$6:$T850,"?*"))</f>
        <v/>
      </c>
      <c r="V850" s="58" t="str">
        <f t="shared" si="125"/>
        <v/>
      </c>
    </row>
    <row r="851" spans="1:22" ht="12.95" customHeight="1" x14ac:dyDescent="0.25">
      <c r="A851" s="60" t="str">
        <f t="shared" si="117"/>
        <v/>
      </c>
      <c r="B851" s="37"/>
      <c r="C851" s="28"/>
      <c r="D851" s="35"/>
      <c r="E851" s="38"/>
      <c r="F851" s="38"/>
      <c r="G851" s="60" t="str">
        <f t="shared" si="118"/>
        <v/>
      </c>
      <c r="H851" s="61" t="str">
        <f t="shared" si="119"/>
        <v/>
      </c>
      <c r="I851" s="40"/>
      <c r="J851" s="62" t="str">
        <f t="shared" si="120"/>
        <v/>
      </c>
      <c r="K851" s="45" t="str">
        <f t="shared" si="121"/>
        <v/>
      </c>
      <c r="L851" s="55"/>
      <c r="M851" s="63">
        <f t="shared" si="122"/>
        <v>0</v>
      </c>
      <c r="N851" s="63">
        <f t="shared" si="123"/>
        <v>0</v>
      </c>
      <c r="O851" s="57"/>
      <c r="P851" s="40"/>
      <c r="Q851" s="60" t="str">
        <f>IF($D851="","",IF($K851&lt;&gt;"Balance Sheet / Clearing","-",IF(SUMPRODUCT(--(LEFT('7. Settlements'!$J$8:$J$107,7)=$A851),--('7. Settlements'!$M$8:$M$107="Tied out"))+SUMPRODUCT(--(LEFT('8. Transfers'!$H$9:$H$108,7)=$A851),--('8. Transfers'!$J$9:$J$108="Matched"))+SUMPRODUCT(--(LEFT('8. Transfers'!$I$9:$I$108,7)=$A851),--('8. Transfers'!$J$9:$J$108="Matched"))+IF($O851="",0,COUNTIFS('9. Payroll Allocation'!$B$234:$B$253,$O851,'9. Payroll Allocation'!$H$234:$H$253,"Tied out"))&gt;0,"Linked","MISSING DETAIL")))</f>
        <v/>
      </c>
      <c r="T851" s="58" t="str">
        <f t="shared" si="124"/>
        <v/>
      </c>
      <c r="U851" s="59" t="str">
        <f>IF($T851="","",COUNTIF($T$6:$T851,"?*"))</f>
        <v/>
      </c>
      <c r="V851" s="58" t="str">
        <f t="shared" si="125"/>
        <v/>
      </c>
    </row>
    <row r="852" spans="1:22" ht="12.95" customHeight="1" x14ac:dyDescent="0.25">
      <c r="A852" s="52" t="str">
        <f t="shared" si="117"/>
        <v/>
      </c>
      <c r="B852" s="37"/>
      <c r="C852" s="28"/>
      <c r="D852" s="35"/>
      <c r="E852" s="38"/>
      <c r="F852" s="38"/>
      <c r="G852" s="52" t="str">
        <f t="shared" si="118"/>
        <v/>
      </c>
      <c r="H852" s="53" t="str">
        <f t="shared" si="119"/>
        <v/>
      </c>
      <c r="I852" s="40"/>
      <c r="J852" s="54" t="str">
        <f t="shared" si="120"/>
        <v/>
      </c>
      <c r="K852" s="41" t="str">
        <f t="shared" si="121"/>
        <v/>
      </c>
      <c r="L852" s="55"/>
      <c r="M852" s="56">
        <f t="shared" si="122"/>
        <v>0</v>
      </c>
      <c r="N852" s="56">
        <f t="shared" si="123"/>
        <v>0</v>
      </c>
      <c r="O852" s="57"/>
      <c r="P852" s="40"/>
      <c r="Q852" s="52" t="str">
        <f>IF($D852="","",IF($K852&lt;&gt;"Balance Sheet / Clearing","-",IF(SUMPRODUCT(--(LEFT('7. Settlements'!$J$8:$J$107,7)=$A852),--('7. Settlements'!$M$8:$M$107="Tied out"))+SUMPRODUCT(--(LEFT('8. Transfers'!$H$9:$H$108,7)=$A852),--('8. Transfers'!$J$9:$J$108="Matched"))+SUMPRODUCT(--(LEFT('8. Transfers'!$I$9:$I$108,7)=$A852),--('8. Transfers'!$J$9:$J$108="Matched"))+IF($O852="",0,COUNTIFS('9. Payroll Allocation'!$B$234:$B$253,$O852,'9. Payroll Allocation'!$H$234:$H$253,"Tied out"))&gt;0,"Linked","MISSING DETAIL")))</f>
        <v/>
      </c>
      <c r="T852" s="58" t="str">
        <f t="shared" si="124"/>
        <v/>
      </c>
      <c r="U852" s="59" t="str">
        <f>IF($T852="","",COUNTIF($T$6:$T852,"?*"))</f>
        <v/>
      </c>
      <c r="V852" s="58" t="str">
        <f t="shared" si="125"/>
        <v/>
      </c>
    </row>
    <row r="853" spans="1:22" ht="12.95" customHeight="1" x14ac:dyDescent="0.25">
      <c r="A853" s="60" t="str">
        <f t="shared" si="117"/>
        <v/>
      </c>
      <c r="B853" s="37"/>
      <c r="C853" s="28"/>
      <c r="D853" s="35"/>
      <c r="E853" s="38"/>
      <c r="F853" s="38"/>
      <c r="G853" s="60" t="str">
        <f t="shared" si="118"/>
        <v/>
      </c>
      <c r="H853" s="61" t="str">
        <f t="shared" si="119"/>
        <v/>
      </c>
      <c r="I853" s="40"/>
      <c r="J853" s="62" t="str">
        <f t="shared" si="120"/>
        <v/>
      </c>
      <c r="K853" s="45" t="str">
        <f t="shared" si="121"/>
        <v/>
      </c>
      <c r="L853" s="55"/>
      <c r="M853" s="63">
        <f t="shared" si="122"/>
        <v>0</v>
      </c>
      <c r="N853" s="63">
        <f t="shared" si="123"/>
        <v>0</v>
      </c>
      <c r="O853" s="57"/>
      <c r="P853" s="40"/>
      <c r="Q853" s="60" t="str">
        <f>IF($D853="","",IF($K853&lt;&gt;"Balance Sheet / Clearing","-",IF(SUMPRODUCT(--(LEFT('7. Settlements'!$J$8:$J$107,7)=$A853),--('7. Settlements'!$M$8:$M$107="Tied out"))+SUMPRODUCT(--(LEFT('8. Transfers'!$H$9:$H$108,7)=$A853),--('8. Transfers'!$J$9:$J$108="Matched"))+SUMPRODUCT(--(LEFT('8. Transfers'!$I$9:$I$108,7)=$A853),--('8. Transfers'!$J$9:$J$108="Matched"))+IF($O853="",0,COUNTIFS('9. Payroll Allocation'!$B$234:$B$253,$O853,'9. Payroll Allocation'!$H$234:$H$253,"Tied out"))&gt;0,"Linked","MISSING DETAIL")))</f>
        <v/>
      </c>
      <c r="T853" s="58" t="str">
        <f t="shared" si="124"/>
        <v/>
      </c>
      <c r="U853" s="59" t="str">
        <f>IF($T853="","",COUNTIF($T$6:$T853,"?*"))</f>
        <v/>
      </c>
      <c r="V853" s="58" t="str">
        <f t="shared" si="125"/>
        <v/>
      </c>
    </row>
    <row r="854" spans="1:22" ht="12.95" customHeight="1" x14ac:dyDescent="0.25">
      <c r="A854" s="52" t="str">
        <f t="shared" si="117"/>
        <v/>
      </c>
      <c r="B854" s="37"/>
      <c r="C854" s="28"/>
      <c r="D854" s="35"/>
      <c r="E854" s="38"/>
      <c r="F854" s="38"/>
      <c r="G854" s="52" t="str">
        <f t="shared" si="118"/>
        <v/>
      </c>
      <c r="H854" s="53" t="str">
        <f t="shared" si="119"/>
        <v/>
      </c>
      <c r="I854" s="40"/>
      <c r="J854" s="54" t="str">
        <f t="shared" si="120"/>
        <v/>
      </c>
      <c r="K854" s="41" t="str">
        <f t="shared" si="121"/>
        <v/>
      </c>
      <c r="L854" s="55"/>
      <c r="M854" s="56">
        <f t="shared" si="122"/>
        <v>0</v>
      </c>
      <c r="N854" s="56">
        <f t="shared" si="123"/>
        <v>0</v>
      </c>
      <c r="O854" s="57"/>
      <c r="P854" s="40"/>
      <c r="Q854" s="52" t="str">
        <f>IF($D854="","",IF($K854&lt;&gt;"Balance Sheet / Clearing","-",IF(SUMPRODUCT(--(LEFT('7. Settlements'!$J$8:$J$107,7)=$A854),--('7. Settlements'!$M$8:$M$107="Tied out"))+SUMPRODUCT(--(LEFT('8. Transfers'!$H$9:$H$108,7)=$A854),--('8. Transfers'!$J$9:$J$108="Matched"))+SUMPRODUCT(--(LEFT('8. Transfers'!$I$9:$I$108,7)=$A854),--('8. Transfers'!$J$9:$J$108="Matched"))+IF($O854="",0,COUNTIFS('9. Payroll Allocation'!$B$234:$B$253,$O854,'9. Payroll Allocation'!$H$234:$H$253,"Tied out"))&gt;0,"Linked","MISSING DETAIL")))</f>
        <v/>
      </c>
      <c r="T854" s="58" t="str">
        <f t="shared" si="124"/>
        <v/>
      </c>
      <c r="U854" s="59" t="str">
        <f>IF($T854="","",COUNTIF($T$6:$T854,"?*"))</f>
        <v/>
      </c>
      <c r="V854" s="58" t="str">
        <f t="shared" si="125"/>
        <v/>
      </c>
    </row>
    <row r="855" spans="1:22" ht="12.95" customHeight="1" x14ac:dyDescent="0.25">
      <c r="A855" s="60" t="str">
        <f t="shared" si="117"/>
        <v/>
      </c>
      <c r="B855" s="37"/>
      <c r="C855" s="28"/>
      <c r="D855" s="35"/>
      <c r="E855" s="38"/>
      <c r="F855" s="38"/>
      <c r="G855" s="60" t="str">
        <f t="shared" si="118"/>
        <v/>
      </c>
      <c r="H855" s="61" t="str">
        <f t="shared" si="119"/>
        <v/>
      </c>
      <c r="I855" s="40"/>
      <c r="J855" s="62" t="str">
        <f t="shared" si="120"/>
        <v/>
      </c>
      <c r="K855" s="45" t="str">
        <f t="shared" si="121"/>
        <v/>
      </c>
      <c r="L855" s="55"/>
      <c r="M855" s="63">
        <f t="shared" si="122"/>
        <v>0</v>
      </c>
      <c r="N855" s="63">
        <f t="shared" si="123"/>
        <v>0</v>
      </c>
      <c r="O855" s="57"/>
      <c r="P855" s="40"/>
      <c r="Q855" s="60" t="str">
        <f>IF($D855="","",IF($K855&lt;&gt;"Balance Sheet / Clearing","-",IF(SUMPRODUCT(--(LEFT('7. Settlements'!$J$8:$J$107,7)=$A855),--('7. Settlements'!$M$8:$M$107="Tied out"))+SUMPRODUCT(--(LEFT('8. Transfers'!$H$9:$H$108,7)=$A855),--('8. Transfers'!$J$9:$J$108="Matched"))+SUMPRODUCT(--(LEFT('8. Transfers'!$I$9:$I$108,7)=$A855),--('8. Transfers'!$J$9:$J$108="Matched"))+IF($O855="",0,COUNTIFS('9. Payroll Allocation'!$B$234:$B$253,$O855,'9. Payroll Allocation'!$H$234:$H$253,"Tied out"))&gt;0,"Linked","MISSING DETAIL")))</f>
        <v/>
      </c>
      <c r="T855" s="58" t="str">
        <f t="shared" si="124"/>
        <v/>
      </c>
      <c r="U855" s="59" t="str">
        <f>IF($T855="","",COUNTIF($T$6:$T855,"?*"))</f>
        <v/>
      </c>
      <c r="V855" s="58" t="str">
        <f t="shared" si="125"/>
        <v/>
      </c>
    </row>
    <row r="856" spans="1:22" ht="12.95" customHeight="1" x14ac:dyDescent="0.25">
      <c r="A856" s="52" t="str">
        <f t="shared" si="117"/>
        <v/>
      </c>
      <c r="B856" s="37"/>
      <c r="C856" s="28"/>
      <c r="D856" s="35"/>
      <c r="E856" s="38"/>
      <c r="F856" s="38"/>
      <c r="G856" s="52" t="str">
        <f t="shared" si="118"/>
        <v/>
      </c>
      <c r="H856" s="53" t="str">
        <f t="shared" si="119"/>
        <v/>
      </c>
      <c r="I856" s="40"/>
      <c r="J856" s="54" t="str">
        <f t="shared" si="120"/>
        <v/>
      </c>
      <c r="K856" s="41" t="str">
        <f t="shared" si="121"/>
        <v/>
      </c>
      <c r="L856" s="55"/>
      <c r="M856" s="56">
        <f t="shared" si="122"/>
        <v>0</v>
      </c>
      <c r="N856" s="56">
        <f t="shared" si="123"/>
        <v>0</v>
      </c>
      <c r="O856" s="57"/>
      <c r="P856" s="40"/>
      <c r="Q856" s="52" t="str">
        <f>IF($D856="","",IF($K856&lt;&gt;"Balance Sheet / Clearing","-",IF(SUMPRODUCT(--(LEFT('7. Settlements'!$J$8:$J$107,7)=$A856),--('7. Settlements'!$M$8:$M$107="Tied out"))+SUMPRODUCT(--(LEFT('8. Transfers'!$H$9:$H$108,7)=$A856),--('8. Transfers'!$J$9:$J$108="Matched"))+SUMPRODUCT(--(LEFT('8. Transfers'!$I$9:$I$108,7)=$A856),--('8. Transfers'!$J$9:$J$108="Matched"))+IF($O856="",0,COUNTIFS('9. Payroll Allocation'!$B$234:$B$253,$O856,'9. Payroll Allocation'!$H$234:$H$253,"Tied out"))&gt;0,"Linked","MISSING DETAIL")))</f>
        <v/>
      </c>
      <c r="T856" s="58" t="str">
        <f t="shared" si="124"/>
        <v/>
      </c>
      <c r="U856" s="59" t="str">
        <f>IF($T856="","",COUNTIF($T$6:$T856,"?*"))</f>
        <v/>
      </c>
      <c r="V856" s="58" t="str">
        <f t="shared" si="125"/>
        <v/>
      </c>
    </row>
    <row r="857" spans="1:22" ht="12.95" customHeight="1" x14ac:dyDescent="0.25">
      <c r="A857" s="60" t="str">
        <f t="shared" si="117"/>
        <v/>
      </c>
      <c r="B857" s="37"/>
      <c r="C857" s="28"/>
      <c r="D857" s="35"/>
      <c r="E857" s="38"/>
      <c r="F857" s="38"/>
      <c r="G857" s="60" t="str">
        <f t="shared" si="118"/>
        <v/>
      </c>
      <c r="H857" s="61" t="str">
        <f t="shared" si="119"/>
        <v/>
      </c>
      <c r="I857" s="40"/>
      <c r="J857" s="62" t="str">
        <f t="shared" si="120"/>
        <v/>
      </c>
      <c r="K857" s="45" t="str">
        <f t="shared" si="121"/>
        <v/>
      </c>
      <c r="L857" s="55"/>
      <c r="M857" s="63">
        <f t="shared" si="122"/>
        <v>0</v>
      </c>
      <c r="N857" s="63">
        <f t="shared" si="123"/>
        <v>0</v>
      </c>
      <c r="O857" s="57"/>
      <c r="P857" s="40"/>
      <c r="Q857" s="60" t="str">
        <f>IF($D857="","",IF($K857&lt;&gt;"Balance Sheet / Clearing","-",IF(SUMPRODUCT(--(LEFT('7. Settlements'!$J$8:$J$107,7)=$A857),--('7. Settlements'!$M$8:$M$107="Tied out"))+SUMPRODUCT(--(LEFT('8. Transfers'!$H$9:$H$108,7)=$A857),--('8. Transfers'!$J$9:$J$108="Matched"))+SUMPRODUCT(--(LEFT('8. Transfers'!$I$9:$I$108,7)=$A857),--('8. Transfers'!$J$9:$J$108="Matched"))+IF($O857="",0,COUNTIFS('9. Payroll Allocation'!$B$234:$B$253,$O857,'9. Payroll Allocation'!$H$234:$H$253,"Tied out"))&gt;0,"Linked","MISSING DETAIL")))</f>
        <v/>
      </c>
      <c r="T857" s="58" t="str">
        <f t="shared" si="124"/>
        <v/>
      </c>
      <c r="U857" s="59" t="str">
        <f>IF($T857="","",COUNTIF($T$6:$T857,"?*"))</f>
        <v/>
      </c>
      <c r="V857" s="58" t="str">
        <f t="shared" si="125"/>
        <v/>
      </c>
    </row>
    <row r="858" spans="1:22" ht="12.95" customHeight="1" x14ac:dyDescent="0.25">
      <c r="A858" s="52" t="str">
        <f t="shared" si="117"/>
        <v/>
      </c>
      <c r="B858" s="37"/>
      <c r="C858" s="28"/>
      <c r="D858" s="35"/>
      <c r="E858" s="38"/>
      <c r="F858" s="38"/>
      <c r="G858" s="52" t="str">
        <f t="shared" si="118"/>
        <v/>
      </c>
      <c r="H858" s="53" t="str">
        <f t="shared" si="119"/>
        <v/>
      </c>
      <c r="I858" s="40"/>
      <c r="J858" s="54" t="str">
        <f t="shared" si="120"/>
        <v/>
      </c>
      <c r="K858" s="41" t="str">
        <f t="shared" si="121"/>
        <v/>
      </c>
      <c r="L858" s="55"/>
      <c r="M858" s="56">
        <f t="shared" si="122"/>
        <v>0</v>
      </c>
      <c r="N858" s="56">
        <f t="shared" si="123"/>
        <v>0</v>
      </c>
      <c r="O858" s="57"/>
      <c r="P858" s="40"/>
      <c r="Q858" s="52" t="str">
        <f>IF($D858="","",IF($K858&lt;&gt;"Balance Sheet / Clearing","-",IF(SUMPRODUCT(--(LEFT('7. Settlements'!$J$8:$J$107,7)=$A858),--('7. Settlements'!$M$8:$M$107="Tied out"))+SUMPRODUCT(--(LEFT('8. Transfers'!$H$9:$H$108,7)=$A858),--('8. Transfers'!$J$9:$J$108="Matched"))+SUMPRODUCT(--(LEFT('8. Transfers'!$I$9:$I$108,7)=$A858),--('8. Transfers'!$J$9:$J$108="Matched"))+IF($O858="",0,COUNTIFS('9. Payroll Allocation'!$B$234:$B$253,$O858,'9. Payroll Allocation'!$H$234:$H$253,"Tied out"))&gt;0,"Linked","MISSING DETAIL")))</f>
        <v/>
      </c>
      <c r="T858" s="58" t="str">
        <f t="shared" si="124"/>
        <v/>
      </c>
      <c r="U858" s="59" t="str">
        <f>IF($T858="","",COUNTIF($T$6:$T858,"?*"))</f>
        <v/>
      </c>
      <c r="V858" s="58" t="str">
        <f t="shared" si="125"/>
        <v/>
      </c>
    </row>
    <row r="859" spans="1:22" ht="12.95" customHeight="1" x14ac:dyDescent="0.25">
      <c r="A859" s="60" t="str">
        <f t="shared" si="117"/>
        <v/>
      </c>
      <c r="B859" s="37"/>
      <c r="C859" s="28"/>
      <c r="D859" s="35"/>
      <c r="E859" s="38"/>
      <c r="F859" s="38"/>
      <c r="G859" s="60" t="str">
        <f t="shared" si="118"/>
        <v/>
      </c>
      <c r="H859" s="61" t="str">
        <f t="shared" si="119"/>
        <v/>
      </c>
      <c r="I859" s="40"/>
      <c r="J859" s="62" t="str">
        <f t="shared" si="120"/>
        <v/>
      </c>
      <c r="K859" s="45" t="str">
        <f t="shared" si="121"/>
        <v/>
      </c>
      <c r="L859" s="55"/>
      <c r="M859" s="63">
        <f t="shared" si="122"/>
        <v>0</v>
      </c>
      <c r="N859" s="63">
        <f t="shared" si="123"/>
        <v>0</v>
      </c>
      <c r="O859" s="57"/>
      <c r="P859" s="40"/>
      <c r="Q859" s="60" t="str">
        <f>IF($D859="","",IF($K859&lt;&gt;"Balance Sheet / Clearing","-",IF(SUMPRODUCT(--(LEFT('7. Settlements'!$J$8:$J$107,7)=$A859),--('7. Settlements'!$M$8:$M$107="Tied out"))+SUMPRODUCT(--(LEFT('8. Transfers'!$H$9:$H$108,7)=$A859),--('8. Transfers'!$J$9:$J$108="Matched"))+SUMPRODUCT(--(LEFT('8. Transfers'!$I$9:$I$108,7)=$A859),--('8. Transfers'!$J$9:$J$108="Matched"))+IF($O859="",0,COUNTIFS('9. Payroll Allocation'!$B$234:$B$253,$O859,'9. Payroll Allocation'!$H$234:$H$253,"Tied out"))&gt;0,"Linked","MISSING DETAIL")))</f>
        <v/>
      </c>
      <c r="T859" s="58" t="str">
        <f t="shared" si="124"/>
        <v/>
      </c>
      <c r="U859" s="59" t="str">
        <f>IF($T859="","",COUNTIF($T$6:$T859,"?*"))</f>
        <v/>
      </c>
      <c r="V859" s="58" t="str">
        <f t="shared" si="125"/>
        <v/>
      </c>
    </row>
    <row r="860" spans="1:22" ht="12.95" customHeight="1" x14ac:dyDescent="0.25">
      <c r="A860" s="52" t="str">
        <f t="shared" si="117"/>
        <v/>
      </c>
      <c r="B860" s="37"/>
      <c r="C860" s="28"/>
      <c r="D860" s="35"/>
      <c r="E860" s="38"/>
      <c r="F860" s="38"/>
      <c r="G860" s="52" t="str">
        <f t="shared" si="118"/>
        <v/>
      </c>
      <c r="H860" s="53" t="str">
        <f t="shared" si="119"/>
        <v/>
      </c>
      <c r="I860" s="40"/>
      <c r="J860" s="54" t="str">
        <f t="shared" si="120"/>
        <v/>
      </c>
      <c r="K860" s="41" t="str">
        <f t="shared" si="121"/>
        <v/>
      </c>
      <c r="L860" s="55"/>
      <c r="M860" s="56">
        <f t="shared" si="122"/>
        <v>0</v>
      </c>
      <c r="N860" s="56">
        <f t="shared" si="123"/>
        <v>0</v>
      </c>
      <c r="O860" s="57"/>
      <c r="P860" s="40"/>
      <c r="Q860" s="52" t="str">
        <f>IF($D860="","",IF($K860&lt;&gt;"Balance Sheet / Clearing","-",IF(SUMPRODUCT(--(LEFT('7. Settlements'!$J$8:$J$107,7)=$A860),--('7. Settlements'!$M$8:$M$107="Tied out"))+SUMPRODUCT(--(LEFT('8. Transfers'!$H$9:$H$108,7)=$A860),--('8. Transfers'!$J$9:$J$108="Matched"))+SUMPRODUCT(--(LEFT('8. Transfers'!$I$9:$I$108,7)=$A860),--('8. Transfers'!$J$9:$J$108="Matched"))+IF($O860="",0,COUNTIFS('9. Payroll Allocation'!$B$234:$B$253,$O860,'9. Payroll Allocation'!$H$234:$H$253,"Tied out"))&gt;0,"Linked","MISSING DETAIL")))</f>
        <v/>
      </c>
      <c r="T860" s="58" t="str">
        <f t="shared" si="124"/>
        <v/>
      </c>
      <c r="U860" s="59" t="str">
        <f>IF($T860="","",COUNTIF($T$6:$T860,"?*"))</f>
        <v/>
      </c>
      <c r="V860" s="58" t="str">
        <f t="shared" si="125"/>
        <v/>
      </c>
    </row>
    <row r="861" spans="1:22" ht="12.95" customHeight="1" x14ac:dyDescent="0.25">
      <c r="A861" s="60" t="str">
        <f t="shared" si="117"/>
        <v/>
      </c>
      <c r="B861" s="37"/>
      <c r="C861" s="28"/>
      <c r="D861" s="35"/>
      <c r="E861" s="38"/>
      <c r="F861" s="38"/>
      <c r="G861" s="60" t="str">
        <f t="shared" si="118"/>
        <v/>
      </c>
      <c r="H861" s="61" t="str">
        <f t="shared" si="119"/>
        <v/>
      </c>
      <c r="I861" s="40"/>
      <c r="J861" s="62" t="str">
        <f t="shared" si="120"/>
        <v/>
      </c>
      <c r="K861" s="45" t="str">
        <f t="shared" si="121"/>
        <v/>
      </c>
      <c r="L861" s="55"/>
      <c r="M861" s="63">
        <f t="shared" si="122"/>
        <v>0</v>
      </c>
      <c r="N861" s="63">
        <f t="shared" si="123"/>
        <v>0</v>
      </c>
      <c r="O861" s="57"/>
      <c r="P861" s="40"/>
      <c r="Q861" s="60" t="str">
        <f>IF($D861="","",IF($K861&lt;&gt;"Balance Sheet / Clearing","-",IF(SUMPRODUCT(--(LEFT('7. Settlements'!$J$8:$J$107,7)=$A861),--('7. Settlements'!$M$8:$M$107="Tied out"))+SUMPRODUCT(--(LEFT('8. Transfers'!$H$9:$H$108,7)=$A861),--('8. Transfers'!$J$9:$J$108="Matched"))+SUMPRODUCT(--(LEFT('8. Transfers'!$I$9:$I$108,7)=$A861),--('8. Transfers'!$J$9:$J$108="Matched"))+IF($O861="",0,COUNTIFS('9. Payroll Allocation'!$B$234:$B$253,$O861,'9. Payroll Allocation'!$H$234:$H$253,"Tied out"))&gt;0,"Linked","MISSING DETAIL")))</f>
        <v/>
      </c>
      <c r="T861" s="58" t="str">
        <f t="shared" si="124"/>
        <v/>
      </c>
      <c r="U861" s="59" t="str">
        <f>IF($T861="","",COUNTIF($T$6:$T861,"?*"))</f>
        <v/>
      </c>
      <c r="V861" s="58" t="str">
        <f t="shared" si="125"/>
        <v/>
      </c>
    </row>
    <row r="862" spans="1:22" ht="12.95" customHeight="1" x14ac:dyDescent="0.25">
      <c r="A862" s="52" t="str">
        <f t="shared" si="117"/>
        <v/>
      </c>
      <c r="B862" s="37"/>
      <c r="C862" s="28"/>
      <c r="D862" s="35"/>
      <c r="E862" s="38"/>
      <c r="F862" s="38"/>
      <c r="G862" s="52" t="str">
        <f t="shared" si="118"/>
        <v/>
      </c>
      <c r="H862" s="53" t="str">
        <f t="shared" si="119"/>
        <v/>
      </c>
      <c r="I862" s="40"/>
      <c r="J862" s="54" t="str">
        <f t="shared" si="120"/>
        <v/>
      </c>
      <c r="K862" s="41" t="str">
        <f t="shared" si="121"/>
        <v/>
      </c>
      <c r="L862" s="55"/>
      <c r="M862" s="56">
        <f t="shared" si="122"/>
        <v>0</v>
      </c>
      <c r="N862" s="56">
        <f t="shared" si="123"/>
        <v>0</v>
      </c>
      <c r="O862" s="57"/>
      <c r="P862" s="40"/>
      <c r="Q862" s="52" t="str">
        <f>IF($D862="","",IF($K862&lt;&gt;"Balance Sheet / Clearing","-",IF(SUMPRODUCT(--(LEFT('7. Settlements'!$J$8:$J$107,7)=$A862),--('7. Settlements'!$M$8:$M$107="Tied out"))+SUMPRODUCT(--(LEFT('8. Transfers'!$H$9:$H$108,7)=$A862),--('8. Transfers'!$J$9:$J$108="Matched"))+SUMPRODUCT(--(LEFT('8. Transfers'!$I$9:$I$108,7)=$A862),--('8. Transfers'!$J$9:$J$108="Matched"))+IF($O862="",0,COUNTIFS('9. Payroll Allocation'!$B$234:$B$253,$O862,'9. Payroll Allocation'!$H$234:$H$253,"Tied out"))&gt;0,"Linked","MISSING DETAIL")))</f>
        <v/>
      </c>
      <c r="T862" s="58" t="str">
        <f t="shared" si="124"/>
        <v/>
      </c>
      <c r="U862" s="59" t="str">
        <f>IF($T862="","",COUNTIF($T$6:$T862,"?*"))</f>
        <v/>
      </c>
      <c r="V862" s="58" t="str">
        <f t="shared" si="125"/>
        <v/>
      </c>
    </row>
    <row r="863" spans="1:22" ht="12.95" customHeight="1" x14ac:dyDescent="0.25">
      <c r="A863" s="60" t="str">
        <f t="shared" si="117"/>
        <v/>
      </c>
      <c r="B863" s="37"/>
      <c r="C863" s="28"/>
      <c r="D863" s="35"/>
      <c r="E863" s="38"/>
      <c r="F863" s="38"/>
      <c r="G863" s="60" t="str">
        <f t="shared" si="118"/>
        <v/>
      </c>
      <c r="H863" s="61" t="str">
        <f t="shared" si="119"/>
        <v/>
      </c>
      <c r="I863" s="40"/>
      <c r="J863" s="62" t="str">
        <f t="shared" si="120"/>
        <v/>
      </c>
      <c r="K863" s="45" t="str">
        <f t="shared" si="121"/>
        <v/>
      </c>
      <c r="L863" s="55"/>
      <c r="M863" s="63">
        <f t="shared" si="122"/>
        <v>0</v>
      </c>
      <c r="N863" s="63">
        <f t="shared" si="123"/>
        <v>0</v>
      </c>
      <c r="O863" s="57"/>
      <c r="P863" s="40"/>
      <c r="Q863" s="60" t="str">
        <f>IF($D863="","",IF($K863&lt;&gt;"Balance Sheet / Clearing","-",IF(SUMPRODUCT(--(LEFT('7. Settlements'!$J$8:$J$107,7)=$A863),--('7. Settlements'!$M$8:$M$107="Tied out"))+SUMPRODUCT(--(LEFT('8. Transfers'!$H$9:$H$108,7)=$A863),--('8. Transfers'!$J$9:$J$108="Matched"))+SUMPRODUCT(--(LEFT('8. Transfers'!$I$9:$I$108,7)=$A863),--('8. Transfers'!$J$9:$J$108="Matched"))+IF($O863="",0,COUNTIFS('9. Payroll Allocation'!$B$234:$B$253,$O863,'9. Payroll Allocation'!$H$234:$H$253,"Tied out"))&gt;0,"Linked","MISSING DETAIL")))</f>
        <v/>
      </c>
      <c r="T863" s="58" t="str">
        <f t="shared" si="124"/>
        <v/>
      </c>
      <c r="U863" s="59" t="str">
        <f>IF($T863="","",COUNTIF($T$6:$T863,"?*"))</f>
        <v/>
      </c>
      <c r="V863" s="58" t="str">
        <f t="shared" si="125"/>
        <v/>
      </c>
    </row>
    <row r="864" spans="1:22" ht="12.95" customHeight="1" x14ac:dyDescent="0.25">
      <c r="A864" s="52" t="str">
        <f t="shared" si="117"/>
        <v/>
      </c>
      <c r="B864" s="37"/>
      <c r="C864" s="28"/>
      <c r="D864" s="35"/>
      <c r="E864" s="38"/>
      <c r="F864" s="38"/>
      <c r="G864" s="52" t="str">
        <f t="shared" si="118"/>
        <v/>
      </c>
      <c r="H864" s="53" t="str">
        <f t="shared" si="119"/>
        <v/>
      </c>
      <c r="I864" s="40"/>
      <c r="J864" s="54" t="str">
        <f t="shared" si="120"/>
        <v/>
      </c>
      <c r="K864" s="41" t="str">
        <f t="shared" si="121"/>
        <v/>
      </c>
      <c r="L864" s="55"/>
      <c r="M864" s="56">
        <f t="shared" si="122"/>
        <v>0</v>
      </c>
      <c r="N864" s="56">
        <f t="shared" si="123"/>
        <v>0</v>
      </c>
      <c r="O864" s="57"/>
      <c r="P864" s="40"/>
      <c r="Q864" s="52" t="str">
        <f>IF($D864="","",IF($K864&lt;&gt;"Balance Sheet / Clearing","-",IF(SUMPRODUCT(--(LEFT('7. Settlements'!$J$8:$J$107,7)=$A864),--('7. Settlements'!$M$8:$M$107="Tied out"))+SUMPRODUCT(--(LEFT('8. Transfers'!$H$9:$H$108,7)=$A864),--('8. Transfers'!$J$9:$J$108="Matched"))+SUMPRODUCT(--(LEFT('8. Transfers'!$I$9:$I$108,7)=$A864),--('8. Transfers'!$J$9:$J$108="Matched"))+IF($O864="",0,COUNTIFS('9. Payroll Allocation'!$B$234:$B$253,$O864,'9. Payroll Allocation'!$H$234:$H$253,"Tied out"))&gt;0,"Linked","MISSING DETAIL")))</f>
        <v/>
      </c>
      <c r="T864" s="58" t="str">
        <f t="shared" si="124"/>
        <v/>
      </c>
      <c r="U864" s="59" t="str">
        <f>IF($T864="","",COUNTIF($T$6:$T864,"?*"))</f>
        <v/>
      </c>
      <c r="V864" s="58" t="str">
        <f t="shared" si="125"/>
        <v/>
      </c>
    </row>
    <row r="865" spans="1:22" ht="12.95" customHeight="1" x14ac:dyDescent="0.25">
      <c r="A865" s="60" t="str">
        <f t="shared" si="117"/>
        <v/>
      </c>
      <c r="B865" s="37"/>
      <c r="C865" s="28"/>
      <c r="D865" s="35"/>
      <c r="E865" s="38"/>
      <c r="F865" s="38"/>
      <c r="G865" s="60" t="str">
        <f t="shared" si="118"/>
        <v/>
      </c>
      <c r="H865" s="61" t="str">
        <f t="shared" si="119"/>
        <v/>
      </c>
      <c r="I865" s="40"/>
      <c r="J865" s="62" t="str">
        <f t="shared" si="120"/>
        <v/>
      </c>
      <c r="K865" s="45" t="str">
        <f t="shared" si="121"/>
        <v/>
      </c>
      <c r="L865" s="55"/>
      <c r="M865" s="63">
        <f t="shared" si="122"/>
        <v>0</v>
      </c>
      <c r="N865" s="63">
        <f t="shared" si="123"/>
        <v>0</v>
      </c>
      <c r="O865" s="57"/>
      <c r="P865" s="40"/>
      <c r="Q865" s="60" t="str">
        <f>IF($D865="","",IF($K865&lt;&gt;"Balance Sheet / Clearing","-",IF(SUMPRODUCT(--(LEFT('7. Settlements'!$J$8:$J$107,7)=$A865),--('7. Settlements'!$M$8:$M$107="Tied out"))+SUMPRODUCT(--(LEFT('8. Transfers'!$H$9:$H$108,7)=$A865),--('8. Transfers'!$J$9:$J$108="Matched"))+SUMPRODUCT(--(LEFT('8. Transfers'!$I$9:$I$108,7)=$A865),--('8. Transfers'!$J$9:$J$108="Matched"))+IF($O865="",0,COUNTIFS('9. Payroll Allocation'!$B$234:$B$253,$O865,'9. Payroll Allocation'!$H$234:$H$253,"Tied out"))&gt;0,"Linked","MISSING DETAIL")))</f>
        <v/>
      </c>
      <c r="T865" s="58" t="str">
        <f t="shared" si="124"/>
        <v/>
      </c>
      <c r="U865" s="59" t="str">
        <f>IF($T865="","",COUNTIF($T$6:$T865,"?*"))</f>
        <v/>
      </c>
      <c r="V865" s="58" t="str">
        <f t="shared" si="125"/>
        <v/>
      </c>
    </row>
    <row r="866" spans="1:22" ht="12.95" customHeight="1" x14ac:dyDescent="0.25">
      <c r="A866" s="52" t="str">
        <f t="shared" si="117"/>
        <v/>
      </c>
      <c r="B866" s="37"/>
      <c r="C866" s="28"/>
      <c r="D866" s="35"/>
      <c r="E866" s="38"/>
      <c r="F866" s="38"/>
      <c r="G866" s="52" t="str">
        <f t="shared" si="118"/>
        <v/>
      </c>
      <c r="H866" s="53" t="str">
        <f t="shared" si="119"/>
        <v/>
      </c>
      <c r="I866" s="40"/>
      <c r="J866" s="54" t="str">
        <f t="shared" si="120"/>
        <v/>
      </c>
      <c r="K866" s="41" t="str">
        <f t="shared" si="121"/>
        <v/>
      </c>
      <c r="L866" s="55"/>
      <c r="M866" s="56">
        <f t="shared" si="122"/>
        <v>0</v>
      </c>
      <c r="N866" s="56">
        <f t="shared" si="123"/>
        <v>0</v>
      </c>
      <c r="O866" s="57"/>
      <c r="P866" s="40"/>
      <c r="Q866" s="52" t="str">
        <f>IF($D866="","",IF($K866&lt;&gt;"Balance Sheet / Clearing","-",IF(SUMPRODUCT(--(LEFT('7. Settlements'!$J$8:$J$107,7)=$A866),--('7. Settlements'!$M$8:$M$107="Tied out"))+SUMPRODUCT(--(LEFT('8. Transfers'!$H$9:$H$108,7)=$A866),--('8. Transfers'!$J$9:$J$108="Matched"))+SUMPRODUCT(--(LEFT('8. Transfers'!$I$9:$I$108,7)=$A866),--('8. Transfers'!$J$9:$J$108="Matched"))+IF($O866="",0,COUNTIFS('9. Payroll Allocation'!$B$234:$B$253,$O866,'9. Payroll Allocation'!$H$234:$H$253,"Tied out"))&gt;0,"Linked","MISSING DETAIL")))</f>
        <v/>
      </c>
      <c r="T866" s="58" t="str">
        <f t="shared" si="124"/>
        <v/>
      </c>
      <c r="U866" s="59" t="str">
        <f>IF($T866="","",COUNTIF($T$6:$T866,"?*"))</f>
        <v/>
      </c>
      <c r="V866" s="58" t="str">
        <f t="shared" si="125"/>
        <v/>
      </c>
    </row>
    <row r="867" spans="1:22" ht="12.95" customHeight="1" x14ac:dyDescent="0.25">
      <c r="A867" s="60" t="str">
        <f t="shared" si="117"/>
        <v/>
      </c>
      <c r="B867" s="37"/>
      <c r="C867" s="28"/>
      <c r="D867" s="35"/>
      <c r="E867" s="38"/>
      <c r="F867" s="38"/>
      <c r="G867" s="60" t="str">
        <f t="shared" si="118"/>
        <v/>
      </c>
      <c r="H867" s="61" t="str">
        <f t="shared" si="119"/>
        <v/>
      </c>
      <c r="I867" s="40"/>
      <c r="J867" s="62" t="str">
        <f t="shared" si="120"/>
        <v/>
      </c>
      <c r="K867" s="45" t="str">
        <f t="shared" si="121"/>
        <v/>
      </c>
      <c r="L867" s="55"/>
      <c r="M867" s="63">
        <f t="shared" si="122"/>
        <v>0</v>
      </c>
      <c r="N867" s="63">
        <f t="shared" si="123"/>
        <v>0</v>
      </c>
      <c r="O867" s="57"/>
      <c r="P867" s="40"/>
      <c r="Q867" s="60" t="str">
        <f>IF($D867="","",IF($K867&lt;&gt;"Balance Sheet / Clearing","-",IF(SUMPRODUCT(--(LEFT('7. Settlements'!$J$8:$J$107,7)=$A867),--('7. Settlements'!$M$8:$M$107="Tied out"))+SUMPRODUCT(--(LEFT('8. Transfers'!$H$9:$H$108,7)=$A867),--('8. Transfers'!$J$9:$J$108="Matched"))+SUMPRODUCT(--(LEFT('8. Transfers'!$I$9:$I$108,7)=$A867),--('8. Transfers'!$J$9:$J$108="Matched"))+IF($O867="",0,COUNTIFS('9. Payroll Allocation'!$B$234:$B$253,$O867,'9. Payroll Allocation'!$H$234:$H$253,"Tied out"))&gt;0,"Linked","MISSING DETAIL")))</f>
        <v/>
      </c>
      <c r="T867" s="58" t="str">
        <f t="shared" si="124"/>
        <v/>
      </c>
      <c r="U867" s="59" t="str">
        <f>IF($T867="","",COUNTIF($T$6:$T867,"?*"))</f>
        <v/>
      </c>
      <c r="V867" s="58" t="str">
        <f t="shared" si="125"/>
        <v/>
      </c>
    </row>
    <row r="868" spans="1:22" ht="12.95" customHeight="1" x14ac:dyDescent="0.25">
      <c r="A868" s="52" t="str">
        <f t="shared" si="117"/>
        <v/>
      </c>
      <c r="B868" s="37"/>
      <c r="C868" s="28"/>
      <c r="D868" s="35"/>
      <c r="E868" s="38"/>
      <c r="F868" s="38"/>
      <c r="G868" s="52" t="str">
        <f t="shared" si="118"/>
        <v/>
      </c>
      <c r="H868" s="53" t="str">
        <f t="shared" si="119"/>
        <v/>
      </c>
      <c r="I868" s="40"/>
      <c r="J868" s="54" t="str">
        <f t="shared" si="120"/>
        <v/>
      </c>
      <c r="K868" s="41" t="str">
        <f t="shared" si="121"/>
        <v/>
      </c>
      <c r="L868" s="55"/>
      <c r="M868" s="56">
        <f t="shared" si="122"/>
        <v>0</v>
      </c>
      <c r="N868" s="56">
        <f t="shared" si="123"/>
        <v>0</v>
      </c>
      <c r="O868" s="57"/>
      <c r="P868" s="40"/>
      <c r="Q868" s="52" t="str">
        <f>IF($D868="","",IF($K868&lt;&gt;"Balance Sheet / Clearing","-",IF(SUMPRODUCT(--(LEFT('7. Settlements'!$J$8:$J$107,7)=$A868),--('7. Settlements'!$M$8:$M$107="Tied out"))+SUMPRODUCT(--(LEFT('8. Transfers'!$H$9:$H$108,7)=$A868),--('8. Transfers'!$J$9:$J$108="Matched"))+SUMPRODUCT(--(LEFT('8. Transfers'!$I$9:$I$108,7)=$A868),--('8. Transfers'!$J$9:$J$108="Matched"))+IF($O868="",0,COUNTIFS('9. Payroll Allocation'!$B$234:$B$253,$O868,'9. Payroll Allocation'!$H$234:$H$253,"Tied out"))&gt;0,"Linked","MISSING DETAIL")))</f>
        <v/>
      </c>
      <c r="T868" s="58" t="str">
        <f t="shared" si="124"/>
        <v/>
      </c>
      <c r="U868" s="59" t="str">
        <f>IF($T868="","",COUNTIF($T$6:$T868,"?*"))</f>
        <v/>
      </c>
      <c r="V868" s="58" t="str">
        <f t="shared" si="125"/>
        <v/>
      </c>
    </row>
    <row r="869" spans="1:22" ht="12.95" customHeight="1" x14ac:dyDescent="0.25">
      <c r="A869" s="60" t="str">
        <f t="shared" si="117"/>
        <v/>
      </c>
      <c r="B869" s="37"/>
      <c r="C869" s="28"/>
      <c r="D869" s="35"/>
      <c r="E869" s="38"/>
      <c r="F869" s="38"/>
      <c r="G869" s="60" t="str">
        <f t="shared" si="118"/>
        <v/>
      </c>
      <c r="H869" s="61" t="str">
        <f t="shared" si="119"/>
        <v/>
      </c>
      <c r="I869" s="40"/>
      <c r="J869" s="62" t="str">
        <f t="shared" si="120"/>
        <v/>
      </c>
      <c r="K869" s="45" t="str">
        <f t="shared" si="121"/>
        <v/>
      </c>
      <c r="L869" s="55"/>
      <c r="M869" s="63">
        <f t="shared" si="122"/>
        <v>0</v>
      </c>
      <c r="N869" s="63">
        <f t="shared" si="123"/>
        <v>0</v>
      </c>
      <c r="O869" s="57"/>
      <c r="P869" s="40"/>
      <c r="Q869" s="60" t="str">
        <f>IF($D869="","",IF($K869&lt;&gt;"Balance Sheet / Clearing","-",IF(SUMPRODUCT(--(LEFT('7. Settlements'!$J$8:$J$107,7)=$A869),--('7. Settlements'!$M$8:$M$107="Tied out"))+SUMPRODUCT(--(LEFT('8. Transfers'!$H$9:$H$108,7)=$A869),--('8. Transfers'!$J$9:$J$108="Matched"))+SUMPRODUCT(--(LEFT('8. Transfers'!$I$9:$I$108,7)=$A869),--('8. Transfers'!$J$9:$J$108="Matched"))+IF($O869="",0,COUNTIFS('9. Payroll Allocation'!$B$234:$B$253,$O869,'9. Payroll Allocation'!$H$234:$H$253,"Tied out"))&gt;0,"Linked","MISSING DETAIL")))</f>
        <v/>
      </c>
      <c r="T869" s="58" t="str">
        <f t="shared" si="124"/>
        <v/>
      </c>
      <c r="U869" s="59" t="str">
        <f>IF($T869="","",COUNTIF($T$6:$T869,"?*"))</f>
        <v/>
      </c>
      <c r="V869" s="58" t="str">
        <f t="shared" si="125"/>
        <v/>
      </c>
    </row>
    <row r="870" spans="1:22" ht="12.95" customHeight="1" x14ac:dyDescent="0.25">
      <c r="A870" s="52" t="str">
        <f t="shared" si="117"/>
        <v/>
      </c>
      <c r="B870" s="37"/>
      <c r="C870" s="28"/>
      <c r="D870" s="35"/>
      <c r="E870" s="38"/>
      <c r="F870" s="38"/>
      <c r="G870" s="52" t="str">
        <f t="shared" si="118"/>
        <v/>
      </c>
      <c r="H870" s="53" t="str">
        <f t="shared" si="119"/>
        <v/>
      </c>
      <c r="I870" s="40"/>
      <c r="J870" s="54" t="str">
        <f t="shared" si="120"/>
        <v/>
      </c>
      <c r="K870" s="41" t="str">
        <f t="shared" si="121"/>
        <v/>
      </c>
      <c r="L870" s="55"/>
      <c r="M870" s="56">
        <f t="shared" si="122"/>
        <v>0</v>
      </c>
      <c r="N870" s="56">
        <f t="shared" si="123"/>
        <v>0</v>
      </c>
      <c r="O870" s="57"/>
      <c r="P870" s="40"/>
      <c r="Q870" s="52" t="str">
        <f>IF($D870="","",IF($K870&lt;&gt;"Balance Sheet / Clearing","-",IF(SUMPRODUCT(--(LEFT('7. Settlements'!$J$8:$J$107,7)=$A870),--('7. Settlements'!$M$8:$M$107="Tied out"))+SUMPRODUCT(--(LEFT('8. Transfers'!$H$9:$H$108,7)=$A870),--('8. Transfers'!$J$9:$J$108="Matched"))+SUMPRODUCT(--(LEFT('8. Transfers'!$I$9:$I$108,7)=$A870),--('8. Transfers'!$J$9:$J$108="Matched"))+IF($O870="",0,COUNTIFS('9. Payroll Allocation'!$B$234:$B$253,$O870,'9. Payroll Allocation'!$H$234:$H$253,"Tied out"))&gt;0,"Linked","MISSING DETAIL")))</f>
        <v/>
      </c>
      <c r="T870" s="58" t="str">
        <f t="shared" si="124"/>
        <v/>
      </c>
      <c r="U870" s="59" t="str">
        <f>IF($T870="","",COUNTIF($T$6:$T870,"?*"))</f>
        <v/>
      </c>
      <c r="V870" s="58" t="str">
        <f t="shared" si="125"/>
        <v/>
      </c>
    </row>
    <row r="871" spans="1:22" ht="12.95" customHeight="1" x14ac:dyDescent="0.25">
      <c r="A871" s="60" t="str">
        <f t="shared" si="117"/>
        <v/>
      </c>
      <c r="B871" s="37"/>
      <c r="C871" s="28"/>
      <c r="D871" s="35"/>
      <c r="E871" s="38"/>
      <c r="F871" s="38"/>
      <c r="G871" s="60" t="str">
        <f t="shared" si="118"/>
        <v/>
      </c>
      <c r="H871" s="61" t="str">
        <f t="shared" si="119"/>
        <v/>
      </c>
      <c r="I871" s="40"/>
      <c r="J871" s="62" t="str">
        <f t="shared" si="120"/>
        <v/>
      </c>
      <c r="K871" s="45" t="str">
        <f t="shared" si="121"/>
        <v/>
      </c>
      <c r="L871" s="55"/>
      <c r="M871" s="63">
        <f t="shared" si="122"/>
        <v>0</v>
      </c>
      <c r="N871" s="63">
        <f t="shared" si="123"/>
        <v>0</v>
      </c>
      <c r="O871" s="57"/>
      <c r="P871" s="40"/>
      <c r="Q871" s="60" t="str">
        <f>IF($D871="","",IF($K871&lt;&gt;"Balance Sheet / Clearing","-",IF(SUMPRODUCT(--(LEFT('7. Settlements'!$J$8:$J$107,7)=$A871),--('7. Settlements'!$M$8:$M$107="Tied out"))+SUMPRODUCT(--(LEFT('8. Transfers'!$H$9:$H$108,7)=$A871),--('8. Transfers'!$J$9:$J$108="Matched"))+SUMPRODUCT(--(LEFT('8. Transfers'!$I$9:$I$108,7)=$A871),--('8. Transfers'!$J$9:$J$108="Matched"))+IF($O871="",0,COUNTIFS('9. Payroll Allocation'!$B$234:$B$253,$O871,'9. Payroll Allocation'!$H$234:$H$253,"Tied out"))&gt;0,"Linked","MISSING DETAIL")))</f>
        <v/>
      </c>
      <c r="T871" s="58" t="str">
        <f t="shared" si="124"/>
        <v/>
      </c>
      <c r="U871" s="59" t="str">
        <f>IF($T871="","",COUNTIF($T$6:$T871,"?*"))</f>
        <v/>
      </c>
      <c r="V871" s="58" t="str">
        <f t="shared" si="125"/>
        <v/>
      </c>
    </row>
    <row r="872" spans="1:22" ht="12.95" customHeight="1" x14ac:dyDescent="0.25">
      <c r="A872" s="52" t="str">
        <f t="shared" si="117"/>
        <v/>
      </c>
      <c r="B872" s="37"/>
      <c r="C872" s="28"/>
      <c r="D872" s="35"/>
      <c r="E872" s="38"/>
      <c r="F872" s="38"/>
      <c r="G872" s="52" t="str">
        <f t="shared" si="118"/>
        <v/>
      </c>
      <c r="H872" s="53" t="str">
        <f t="shared" si="119"/>
        <v/>
      </c>
      <c r="I872" s="40"/>
      <c r="J872" s="54" t="str">
        <f t="shared" si="120"/>
        <v/>
      </c>
      <c r="K872" s="41" t="str">
        <f t="shared" si="121"/>
        <v/>
      </c>
      <c r="L872" s="55"/>
      <c r="M872" s="56">
        <f t="shared" si="122"/>
        <v>0</v>
      </c>
      <c r="N872" s="56">
        <f t="shared" si="123"/>
        <v>0</v>
      </c>
      <c r="O872" s="57"/>
      <c r="P872" s="40"/>
      <c r="Q872" s="52" t="str">
        <f>IF($D872="","",IF($K872&lt;&gt;"Balance Sheet / Clearing","-",IF(SUMPRODUCT(--(LEFT('7. Settlements'!$J$8:$J$107,7)=$A872),--('7. Settlements'!$M$8:$M$107="Tied out"))+SUMPRODUCT(--(LEFT('8. Transfers'!$H$9:$H$108,7)=$A872),--('8. Transfers'!$J$9:$J$108="Matched"))+SUMPRODUCT(--(LEFT('8. Transfers'!$I$9:$I$108,7)=$A872),--('8. Transfers'!$J$9:$J$108="Matched"))+IF($O872="",0,COUNTIFS('9. Payroll Allocation'!$B$234:$B$253,$O872,'9. Payroll Allocation'!$H$234:$H$253,"Tied out"))&gt;0,"Linked","MISSING DETAIL")))</f>
        <v/>
      </c>
      <c r="T872" s="58" t="str">
        <f t="shared" si="124"/>
        <v/>
      </c>
      <c r="U872" s="59" t="str">
        <f>IF($T872="","",COUNTIF($T$6:$T872,"?*"))</f>
        <v/>
      </c>
      <c r="V872" s="58" t="str">
        <f t="shared" si="125"/>
        <v/>
      </c>
    </row>
    <row r="873" spans="1:22" ht="12.95" customHeight="1" x14ac:dyDescent="0.25">
      <c r="A873" s="60" t="str">
        <f t="shared" si="117"/>
        <v/>
      </c>
      <c r="B873" s="37"/>
      <c r="C873" s="28"/>
      <c r="D873" s="35"/>
      <c r="E873" s="38"/>
      <c r="F873" s="38"/>
      <c r="G873" s="60" t="str">
        <f t="shared" si="118"/>
        <v/>
      </c>
      <c r="H873" s="61" t="str">
        <f t="shared" si="119"/>
        <v/>
      </c>
      <c r="I873" s="40"/>
      <c r="J873" s="62" t="str">
        <f t="shared" si="120"/>
        <v/>
      </c>
      <c r="K873" s="45" t="str">
        <f t="shared" si="121"/>
        <v/>
      </c>
      <c r="L873" s="55"/>
      <c r="M873" s="63">
        <f t="shared" si="122"/>
        <v>0</v>
      </c>
      <c r="N873" s="63">
        <f t="shared" si="123"/>
        <v>0</v>
      </c>
      <c r="O873" s="57"/>
      <c r="P873" s="40"/>
      <c r="Q873" s="60" t="str">
        <f>IF($D873="","",IF($K873&lt;&gt;"Balance Sheet / Clearing","-",IF(SUMPRODUCT(--(LEFT('7. Settlements'!$J$8:$J$107,7)=$A873),--('7. Settlements'!$M$8:$M$107="Tied out"))+SUMPRODUCT(--(LEFT('8. Transfers'!$H$9:$H$108,7)=$A873),--('8. Transfers'!$J$9:$J$108="Matched"))+SUMPRODUCT(--(LEFT('8. Transfers'!$I$9:$I$108,7)=$A873),--('8. Transfers'!$J$9:$J$108="Matched"))+IF($O873="",0,COUNTIFS('9. Payroll Allocation'!$B$234:$B$253,$O873,'9. Payroll Allocation'!$H$234:$H$253,"Tied out"))&gt;0,"Linked","MISSING DETAIL")))</f>
        <v/>
      </c>
      <c r="T873" s="58" t="str">
        <f t="shared" si="124"/>
        <v/>
      </c>
      <c r="U873" s="59" t="str">
        <f>IF($T873="","",COUNTIF($T$6:$T873,"?*"))</f>
        <v/>
      </c>
      <c r="V873" s="58" t="str">
        <f t="shared" si="125"/>
        <v/>
      </c>
    </row>
    <row r="874" spans="1:22" ht="12.95" customHeight="1" x14ac:dyDescent="0.25">
      <c r="A874" s="52" t="str">
        <f t="shared" si="117"/>
        <v/>
      </c>
      <c r="B874" s="37"/>
      <c r="C874" s="28"/>
      <c r="D874" s="35"/>
      <c r="E874" s="38"/>
      <c r="F874" s="38"/>
      <c r="G874" s="52" t="str">
        <f t="shared" si="118"/>
        <v/>
      </c>
      <c r="H874" s="53" t="str">
        <f t="shared" si="119"/>
        <v/>
      </c>
      <c r="I874" s="40"/>
      <c r="J874" s="54" t="str">
        <f t="shared" si="120"/>
        <v/>
      </c>
      <c r="K874" s="41" t="str">
        <f t="shared" si="121"/>
        <v/>
      </c>
      <c r="L874" s="55"/>
      <c r="M874" s="56">
        <f t="shared" si="122"/>
        <v>0</v>
      </c>
      <c r="N874" s="56">
        <f t="shared" si="123"/>
        <v>0</v>
      </c>
      <c r="O874" s="57"/>
      <c r="P874" s="40"/>
      <c r="Q874" s="52" t="str">
        <f>IF($D874="","",IF($K874&lt;&gt;"Balance Sheet / Clearing","-",IF(SUMPRODUCT(--(LEFT('7. Settlements'!$J$8:$J$107,7)=$A874),--('7. Settlements'!$M$8:$M$107="Tied out"))+SUMPRODUCT(--(LEFT('8. Transfers'!$H$9:$H$108,7)=$A874),--('8. Transfers'!$J$9:$J$108="Matched"))+SUMPRODUCT(--(LEFT('8. Transfers'!$I$9:$I$108,7)=$A874),--('8. Transfers'!$J$9:$J$108="Matched"))+IF($O874="",0,COUNTIFS('9. Payroll Allocation'!$B$234:$B$253,$O874,'9. Payroll Allocation'!$H$234:$H$253,"Tied out"))&gt;0,"Linked","MISSING DETAIL")))</f>
        <v/>
      </c>
      <c r="T874" s="58" t="str">
        <f t="shared" si="124"/>
        <v/>
      </c>
      <c r="U874" s="59" t="str">
        <f>IF($T874="","",COUNTIF($T$6:$T874,"?*"))</f>
        <v/>
      </c>
      <c r="V874" s="58" t="str">
        <f t="shared" si="125"/>
        <v/>
      </c>
    </row>
    <row r="875" spans="1:22" ht="12.95" customHeight="1" x14ac:dyDescent="0.25">
      <c r="A875" s="60" t="str">
        <f t="shared" si="117"/>
        <v/>
      </c>
      <c r="B875" s="37"/>
      <c r="C875" s="28"/>
      <c r="D875" s="35"/>
      <c r="E875" s="38"/>
      <c r="F875" s="38"/>
      <c r="G875" s="60" t="str">
        <f t="shared" si="118"/>
        <v/>
      </c>
      <c r="H875" s="61" t="str">
        <f t="shared" si="119"/>
        <v/>
      </c>
      <c r="I875" s="40"/>
      <c r="J875" s="62" t="str">
        <f t="shared" si="120"/>
        <v/>
      </c>
      <c r="K875" s="45" t="str">
        <f t="shared" si="121"/>
        <v/>
      </c>
      <c r="L875" s="55"/>
      <c r="M875" s="63">
        <f t="shared" si="122"/>
        <v>0</v>
      </c>
      <c r="N875" s="63">
        <f t="shared" si="123"/>
        <v>0</v>
      </c>
      <c r="O875" s="57"/>
      <c r="P875" s="40"/>
      <c r="Q875" s="60" t="str">
        <f>IF($D875="","",IF($K875&lt;&gt;"Balance Sheet / Clearing","-",IF(SUMPRODUCT(--(LEFT('7. Settlements'!$J$8:$J$107,7)=$A875),--('7. Settlements'!$M$8:$M$107="Tied out"))+SUMPRODUCT(--(LEFT('8. Transfers'!$H$9:$H$108,7)=$A875),--('8. Transfers'!$J$9:$J$108="Matched"))+SUMPRODUCT(--(LEFT('8. Transfers'!$I$9:$I$108,7)=$A875),--('8. Transfers'!$J$9:$J$108="Matched"))+IF($O875="",0,COUNTIFS('9. Payroll Allocation'!$B$234:$B$253,$O875,'9. Payroll Allocation'!$H$234:$H$253,"Tied out"))&gt;0,"Linked","MISSING DETAIL")))</f>
        <v/>
      </c>
      <c r="T875" s="58" t="str">
        <f t="shared" si="124"/>
        <v/>
      </c>
      <c r="U875" s="59" t="str">
        <f>IF($T875="","",COUNTIF($T$6:$T875,"?*"))</f>
        <v/>
      </c>
      <c r="V875" s="58" t="str">
        <f t="shared" si="125"/>
        <v/>
      </c>
    </row>
    <row r="876" spans="1:22" ht="12.95" customHeight="1" x14ac:dyDescent="0.25">
      <c r="A876" s="52" t="str">
        <f t="shared" si="117"/>
        <v/>
      </c>
      <c r="B876" s="37"/>
      <c r="C876" s="28"/>
      <c r="D876" s="35"/>
      <c r="E876" s="38"/>
      <c r="F876" s="38"/>
      <c r="G876" s="52" t="str">
        <f t="shared" si="118"/>
        <v/>
      </c>
      <c r="H876" s="53" t="str">
        <f t="shared" si="119"/>
        <v/>
      </c>
      <c r="I876" s="40"/>
      <c r="J876" s="54" t="str">
        <f t="shared" si="120"/>
        <v/>
      </c>
      <c r="K876" s="41" t="str">
        <f t="shared" si="121"/>
        <v/>
      </c>
      <c r="L876" s="55"/>
      <c r="M876" s="56">
        <f t="shared" si="122"/>
        <v>0</v>
      </c>
      <c r="N876" s="56">
        <f t="shared" si="123"/>
        <v>0</v>
      </c>
      <c r="O876" s="57"/>
      <c r="P876" s="40"/>
      <c r="Q876" s="52" t="str">
        <f>IF($D876="","",IF($K876&lt;&gt;"Balance Sheet / Clearing","-",IF(SUMPRODUCT(--(LEFT('7. Settlements'!$J$8:$J$107,7)=$A876),--('7. Settlements'!$M$8:$M$107="Tied out"))+SUMPRODUCT(--(LEFT('8. Transfers'!$H$9:$H$108,7)=$A876),--('8. Transfers'!$J$9:$J$108="Matched"))+SUMPRODUCT(--(LEFT('8. Transfers'!$I$9:$I$108,7)=$A876),--('8. Transfers'!$J$9:$J$108="Matched"))+IF($O876="",0,COUNTIFS('9. Payroll Allocation'!$B$234:$B$253,$O876,'9. Payroll Allocation'!$H$234:$H$253,"Tied out"))&gt;0,"Linked","MISSING DETAIL")))</f>
        <v/>
      </c>
      <c r="T876" s="58" t="str">
        <f t="shared" si="124"/>
        <v/>
      </c>
      <c r="U876" s="59" t="str">
        <f>IF($T876="","",COUNTIF($T$6:$T876,"?*"))</f>
        <v/>
      </c>
      <c r="V876" s="58" t="str">
        <f t="shared" si="125"/>
        <v/>
      </c>
    </row>
    <row r="877" spans="1:22" ht="12.95" customHeight="1" x14ac:dyDescent="0.25">
      <c r="A877" s="60" t="str">
        <f t="shared" si="117"/>
        <v/>
      </c>
      <c r="B877" s="37"/>
      <c r="C877" s="28"/>
      <c r="D877" s="35"/>
      <c r="E877" s="38"/>
      <c r="F877" s="38"/>
      <c r="G877" s="60" t="str">
        <f t="shared" si="118"/>
        <v/>
      </c>
      <c r="H877" s="61" t="str">
        <f t="shared" si="119"/>
        <v/>
      </c>
      <c r="I877" s="40"/>
      <c r="J877" s="62" t="str">
        <f t="shared" si="120"/>
        <v/>
      </c>
      <c r="K877" s="45" t="str">
        <f t="shared" si="121"/>
        <v/>
      </c>
      <c r="L877" s="55"/>
      <c r="M877" s="63">
        <f t="shared" si="122"/>
        <v>0</v>
      </c>
      <c r="N877" s="63">
        <f t="shared" si="123"/>
        <v>0</v>
      </c>
      <c r="O877" s="57"/>
      <c r="P877" s="40"/>
      <c r="Q877" s="60" t="str">
        <f>IF($D877="","",IF($K877&lt;&gt;"Balance Sheet / Clearing","-",IF(SUMPRODUCT(--(LEFT('7. Settlements'!$J$8:$J$107,7)=$A877),--('7. Settlements'!$M$8:$M$107="Tied out"))+SUMPRODUCT(--(LEFT('8. Transfers'!$H$9:$H$108,7)=$A877),--('8. Transfers'!$J$9:$J$108="Matched"))+SUMPRODUCT(--(LEFT('8. Transfers'!$I$9:$I$108,7)=$A877),--('8. Transfers'!$J$9:$J$108="Matched"))+IF($O877="",0,COUNTIFS('9. Payroll Allocation'!$B$234:$B$253,$O877,'9. Payroll Allocation'!$H$234:$H$253,"Tied out"))&gt;0,"Linked","MISSING DETAIL")))</f>
        <v/>
      </c>
      <c r="T877" s="58" t="str">
        <f t="shared" si="124"/>
        <v/>
      </c>
      <c r="U877" s="59" t="str">
        <f>IF($T877="","",COUNTIF($T$6:$T877,"?*"))</f>
        <v/>
      </c>
      <c r="V877" s="58" t="str">
        <f t="shared" si="125"/>
        <v/>
      </c>
    </row>
    <row r="878" spans="1:22" ht="12.95" customHeight="1" x14ac:dyDescent="0.25">
      <c r="A878" s="52" t="str">
        <f t="shared" si="117"/>
        <v/>
      </c>
      <c r="B878" s="37"/>
      <c r="C878" s="28"/>
      <c r="D878" s="35"/>
      <c r="E878" s="38"/>
      <c r="F878" s="38"/>
      <c r="G878" s="52" t="str">
        <f t="shared" si="118"/>
        <v/>
      </c>
      <c r="H878" s="53" t="str">
        <f t="shared" si="119"/>
        <v/>
      </c>
      <c r="I878" s="40"/>
      <c r="J878" s="54" t="str">
        <f t="shared" si="120"/>
        <v/>
      </c>
      <c r="K878" s="41" t="str">
        <f t="shared" si="121"/>
        <v/>
      </c>
      <c r="L878" s="55"/>
      <c r="M878" s="56">
        <f t="shared" si="122"/>
        <v>0</v>
      </c>
      <c r="N878" s="56">
        <f t="shared" si="123"/>
        <v>0</v>
      </c>
      <c r="O878" s="57"/>
      <c r="P878" s="40"/>
      <c r="Q878" s="52" t="str">
        <f>IF($D878="","",IF($K878&lt;&gt;"Balance Sheet / Clearing","-",IF(SUMPRODUCT(--(LEFT('7. Settlements'!$J$8:$J$107,7)=$A878),--('7. Settlements'!$M$8:$M$107="Tied out"))+SUMPRODUCT(--(LEFT('8. Transfers'!$H$9:$H$108,7)=$A878),--('8. Transfers'!$J$9:$J$108="Matched"))+SUMPRODUCT(--(LEFT('8. Transfers'!$I$9:$I$108,7)=$A878),--('8. Transfers'!$J$9:$J$108="Matched"))+IF($O878="",0,COUNTIFS('9. Payroll Allocation'!$B$234:$B$253,$O878,'9. Payroll Allocation'!$H$234:$H$253,"Tied out"))&gt;0,"Linked","MISSING DETAIL")))</f>
        <v/>
      </c>
      <c r="T878" s="58" t="str">
        <f t="shared" si="124"/>
        <v/>
      </c>
      <c r="U878" s="59" t="str">
        <f>IF($T878="","",COUNTIF($T$6:$T878,"?*"))</f>
        <v/>
      </c>
      <c r="V878" s="58" t="str">
        <f t="shared" si="125"/>
        <v/>
      </c>
    </row>
    <row r="879" spans="1:22" ht="12.95" customHeight="1" x14ac:dyDescent="0.25">
      <c r="A879" s="60" t="str">
        <f t="shared" si="117"/>
        <v/>
      </c>
      <c r="B879" s="37"/>
      <c r="C879" s="28"/>
      <c r="D879" s="35"/>
      <c r="E879" s="38"/>
      <c r="F879" s="38"/>
      <c r="G879" s="60" t="str">
        <f t="shared" si="118"/>
        <v/>
      </c>
      <c r="H879" s="61" t="str">
        <f t="shared" si="119"/>
        <v/>
      </c>
      <c r="I879" s="40"/>
      <c r="J879" s="62" t="str">
        <f t="shared" si="120"/>
        <v/>
      </c>
      <c r="K879" s="45" t="str">
        <f t="shared" si="121"/>
        <v/>
      </c>
      <c r="L879" s="55"/>
      <c r="M879" s="63">
        <f t="shared" si="122"/>
        <v>0</v>
      </c>
      <c r="N879" s="63">
        <f t="shared" si="123"/>
        <v>0</v>
      </c>
      <c r="O879" s="57"/>
      <c r="P879" s="40"/>
      <c r="Q879" s="60" t="str">
        <f>IF($D879="","",IF($K879&lt;&gt;"Balance Sheet / Clearing","-",IF(SUMPRODUCT(--(LEFT('7. Settlements'!$J$8:$J$107,7)=$A879),--('7. Settlements'!$M$8:$M$107="Tied out"))+SUMPRODUCT(--(LEFT('8. Transfers'!$H$9:$H$108,7)=$A879),--('8. Transfers'!$J$9:$J$108="Matched"))+SUMPRODUCT(--(LEFT('8. Transfers'!$I$9:$I$108,7)=$A879),--('8. Transfers'!$J$9:$J$108="Matched"))+IF($O879="",0,COUNTIFS('9. Payroll Allocation'!$B$234:$B$253,$O879,'9. Payroll Allocation'!$H$234:$H$253,"Tied out"))&gt;0,"Linked","MISSING DETAIL")))</f>
        <v/>
      </c>
      <c r="T879" s="58" t="str">
        <f t="shared" si="124"/>
        <v/>
      </c>
      <c r="U879" s="59" t="str">
        <f>IF($T879="","",COUNTIF($T$6:$T879,"?*"))</f>
        <v/>
      </c>
      <c r="V879" s="58" t="str">
        <f t="shared" si="125"/>
        <v/>
      </c>
    </row>
    <row r="880" spans="1:22" ht="12.95" customHeight="1" x14ac:dyDescent="0.25">
      <c r="A880" s="52" t="str">
        <f t="shared" si="117"/>
        <v/>
      </c>
      <c r="B880" s="37"/>
      <c r="C880" s="28"/>
      <c r="D880" s="35"/>
      <c r="E880" s="38"/>
      <c r="F880" s="38"/>
      <c r="G880" s="52" t="str">
        <f t="shared" si="118"/>
        <v/>
      </c>
      <c r="H880" s="53" t="str">
        <f t="shared" si="119"/>
        <v/>
      </c>
      <c r="I880" s="40"/>
      <c r="J880" s="54" t="str">
        <f t="shared" si="120"/>
        <v/>
      </c>
      <c r="K880" s="41" t="str">
        <f t="shared" si="121"/>
        <v/>
      </c>
      <c r="L880" s="55"/>
      <c r="M880" s="56">
        <f t="shared" si="122"/>
        <v>0</v>
      </c>
      <c r="N880" s="56">
        <f t="shared" si="123"/>
        <v>0</v>
      </c>
      <c r="O880" s="57"/>
      <c r="P880" s="40"/>
      <c r="Q880" s="52" t="str">
        <f>IF($D880="","",IF($K880&lt;&gt;"Balance Sheet / Clearing","-",IF(SUMPRODUCT(--(LEFT('7. Settlements'!$J$8:$J$107,7)=$A880),--('7. Settlements'!$M$8:$M$107="Tied out"))+SUMPRODUCT(--(LEFT('8. Transfers'!$H$9:$H$108,7)=$A880),--('8. Transfers'!$J$9:$J$108="Matched"))+SUMPRODUCT(--(LEFT('8. Transfers'!$I$9:$I$108,7)=$A880),--('8. Transfers'!$J$9:$J$108="Matched"))+IF($O880="",0,COUNTIFS('9. Payroll Allocation'!$B$234:$B$253,$O880,'9. Payroll Allocation'!$H$234:$H$253,"Tied out"))&gt;0,"Linked","MISSING DETAIL")))</f>
        <v/>
      </c>
      <c r="T880" s="58" t="str">
        <f t="shared" si="124"/>
        <v/>
      </c>
      <c r="U880" s="59" t="str">
        <f>IF($T880="","",COUNTIF($T$6:$T880,"?*"))</f>
        <v/>
      </c>
      <c r="V880" s="58" t="str">
        <f t="shared" si="125"/>
        <v/>
      </c>
    </row>
    <row r="881" spans="1:22" ht="12.95" customHeight="1" x14ac:dyDescent="0.25">
      <c r="A881" s="60" t="str">
        <f t="shared" si="117"/>
        <v/>
      </c>
      <c r="B881" s="37"/>
      <c r="C881" s="28"/>
      <c r="D881" s="35"/>
      <c r="E881" s="38"/>
      <c r="F881" s="38"/>
      <c r="G881" s="60" t="str">
        <f t="shared" si="118"/>
        <v/>
      </c>
      <c r="H881" s="61" t="str">
        <f t="shared" si="119"/>
        <v/>
      </c>
      <c r="I881" s="40"/>
      <c r="J881" s="62" t="str">
        <f t="shared" si="120"/>
        <v/>
      </c>
      <c r="K881" s="45" t="str">
        <f t="shared" si="121"/>
        <v/>
      </c>
      <c r="L881" s="55"/>
      <c r="M881" s="63">
        <f t="shared" si="122"/>
        <v>0</v>
      </c>
      <c r="N881" s="63">
        <f t="shared" si="123"/>
        <v>0</v>
      </c>
      <c r="O881" s="57"/>
      <c r="P881" s="40"/>
      <c r="Q881" s="60" t="str">
        <f>IF($D881="","",IF($K881&lt;&gt;"Balance Sheet / Clearing","-",IF(SUMPRODUCT(--(LEFT('7. Settlements'!$J$8:$J$107,7)=$A881),--('7. Settlements'!$M$8:$M$107="Tied out"))+SUMPRODUCT(--(LEFT('8. Transfers'!$H$9:$H$108,7)=$A881),--('8. Transfers'!$J$9:$J$108="Matched"))+SUMPRODUCT(--(LEFT('8. Transfers'!$I$9:$I$108,7)=$A881),--('8. Transfers'!$J$9:$J$108="Matched"))+IF($O881="",0,COUNTIFS('9. Payroll Allocation'!$B$234:$B$253,$O881,'9. Payroll Allocation'!$H$234:$H$253,"Tied out"))&gt;0,"Linked","MISSING DETAIL")))</f>
        <v/>
      </c>
      <c r="T881" s="58" t="str">
        <f t="shared" si="124"/>
        <v/>
      </c>
      <c r="U881" s="59" t="str">
        <f>IF($T881="","",COUNTIF($T$6:$T881,"?*"))</f>
        <v/>
      </c>
      <c r="V881" s="58" t="str">
        <f t="shared" si="125"/>
        <v/>
      </c>
    </row>
    <row r="882" spans="1:22" ht="12.95" customHeight="1" x14ac:dyDescent="0.25">
      <c r="A882" s="52" t="str">
        <f t="shared" si="117"/>
        <v/>
      </c>
      <c r="B882" s="37"/>
      <c r="C882" s="28"/>
      <c r="D882" s="35"/>
      <c r="E882" s="38"/>
      <c r="F882" s="38"/>
      <c r="G882" s="52" t="str">
        <f t="shared" si="118"/>
        <v/>
      </c>
      <c r="H882" s="53" t="str">
        <f t="shared" si="119"/>
        <v/>
      </c>
      <c r="I882" s="40"/>
      <c r="J882" s="54" t="str">
        <f t="shared" si="120"/>
        <v/>
      </c>
      <c r="K882" s="41" t="str">
        <f t="shared" si="121"/>
        <v/>
      </c>
      <c r="L882" s="55"/>
      <c r="M882" s="56">
        <f t="shared" si="122"/>
        <v>0</v>
      </c>
      <c r="N882" s="56">
        <f t="shared" si="123"/>
        <v>0</v>
      </c>
      <c r="O882" s="57"/>
      <c r="P882" s="40"/>
      <c r="Q882" s="52" t="str">
        <f>IF($D882="","",IF($K882&lt;&gt;"Balance Sheet / Clearing","-",IF(SUMPRODUCT(--(LEFT('7. Settlements'!$J$8:$J$107,7)=$A882),--('7. Settlements'!$M$8:$M$107="Tied out"))+SUMPRODUCT(--(LEFT('8. Transfers'!$H$9:$H$108,7)=$A882),--('8. Transfers'!$J$9:$J$108="Matched"))+SUMPRODUCT(--(LEFT('8. Transfers'!$I$9:$I$108,7)=$A882),--('8. Transfers'!$J$9:$J$108="Matched"))+IF($O882="",0,COUNTIFS('9. Payroll Allocation'!$B$234:$B$253,$O882,'9. Payroll Allocation'!$H$234:$H$253,"Tied out"))&gt;0,"Linked","MISSING DETAIL")))</f>
        <v/>
      </c>
      <c r="T882" s="58" t="str">
        <f t="shared" si="124"/>
        <v/>
      </c>
      <c r="U882" s="59" t="str">
        <f>IF($T882="","",COUNTIF($T$6:$T882,"?*"))</f>
        <v/>
      </c>
      <c r="V882" s="58" t="str">
        <f t="shared" si="125"/>
        <v/>
      </c>
    </row>
    <row r="883" spans="1:22" ht="12.95" customHeight="1" x14ac:dyDescent="0.25">
      <c r="A883" s="60" t="str">
        <f t="shared" si="117"/>
        <v/>
      </c>
      <c r="B883" s="37"/>
      <c r="C883" s="28"/>
      <c r="D883" s="35"/>
      <c r="E883" s="38"/>
      <c r="F883" s="38"/>
      <c r="G883" s="60" t="str">
        <f t="shared" si="118"/>
        <v/>
      </c>
      <c r="H883" s="61" t="str">
        <f t="shared" si="119"/>
        <v/>
      </c>
      <c r="I883" s="40"/>
      <c r="J883" s="62" t="str">
        <f t="shared" si="120"/>
        <v/>
      </c>
      <c r="K883" s="45" t="str">
        <f t="shared" si="121"/>
        <v/>
      </c>
      <c r="L883" s="55"/>
      <c r="M883" s="63">
        <f t="shared" si="122"/>
        <v>0</v>
      </c>
      <c r="N883" s="63">
        <f t="shared" si="123"/>
        <v>0</v>
      </c>
      <c r="O883" s="57"/>
      <c r="P883" s="40"/>
      <c r="Q883" s="60" t="str">
        <f>IF($D883="","",IF($K883&lt;&gt;"Balance Sheet / Clearing","-",IF(SUMPRODUCT(--(LEFT('7. Settlements'!$J$8:$J$107,7)=$A883),--('7. Settlements'!$M$8:$M$107="Tied out"))+SUMPRODUCT(--(LEFT('8. Transfers'!$H$9:$H$108,7)=$A883),--('8. Transfers'!$J$9:$J$108="Matched"))+SUMPRODUCT(--(LEFT('8. Transfers'!$I$9:$I$108,7)=$A883),--('8. Transfers'!$J$9:$J$108="Matched"))+IF($O883="",0,COUNTIFS('9. Payroll Allocation'!$B$234:$B$253,$O883,'9. Payroll Allocation'!$H$234:$H$253,"Tied out"))&gt;0,"Linked","MISSING DETAIL")))</f>
        <v/>
      </c>
      <c r="T883" s="58" t="str">
        <f t="shared" si="124"/>
        <v/>
      </c>
      <c r="U883" s="59" t="str">
        <f>IF($T883="","",COUNTIF($T$6:$T883,"?*"))</f>
        <v/>
      </c>
      <c r="V883" s="58" t="str">
        <f t="shared" si="125"/>
        <v/>
      </c>
    </row>
    <row r="884" spans="1:22" ht="12.95" customHeight="1" x14ac:dyDescent="0.25">
      <c r="A884" s="52" t="str">
        <f t="shared" si="117"/>
        <v/>
      </c>
      <c r="B884" s="37"/>
      <c r="C884" s="28"/>
      <c r="D884" s="35"/>
      <c r="E884" s="38"/>
      <c r="F884" s="38"/>
      <c r="G884" s="52" t="str">
        <f t="shared" si="118"/>
        <v/>
      </c>
      <c r="H884" s="53" t="str">
        <f t="shared" si="119"/>
        <v/>
      </c>
      <c r="I884" s="40"/>
      <c r="J884" s="54" t="str">
        <f t="shared" si="120"/>
        <v/>
      </c>
      <c r="K884" s="41" t="str">
        <f t="shared" si="121"/>
        <v/>
      </c>
      <c r="L884" s="55"/>
      <c r="M884" s="56">
        <f t="shared" si="122"/>
        <v>0</v>
      </c>
      <c r="N884" s="56">
        <f t="shared" si="123"/>
        <v>0</v>
      </c>
      <c r="O884" s="57"/>
      <c r="P884" s="40"/>
      <c r="Q884" s="52" t="str">
        <f>IF($D884="","",IF($K884&lt;&gt;"Balance Sheet / Clearing","-",IF(SUMPRODUCT(--(LEFT('7. Settlements'!$J$8:$J$107,7)=$A884),--('7. Settlements'!$M$8:$M$107="Tied out"))+SUMPRODUCT(--(LEFT('8. Transfers'!$H$9:$H$108,7)=$A884),--('8. Transfers'!$J$9:$J$108="Matched"))+SUMPRODUCT(--(LEFT('8. Transfers'!$I$9:$I$108,7)=$A884),--('8. Transfers'!$J$9:$J$108="Matched"))+IF($O884="",0,COUNTIFS('9. Payroll Allocation'!$B$234:$B$253,$O884,'9. Payroll Allocation'!$H$234:$H$253,"Tied out"))&gt;0,"Linked","MISSING DETAIL")))</f>
        <v/>
      </c>
      <c r="T884" s="58" t="str">
        <f t="shared" si="124"/>
        <v/>
      </c>
      <c r="U884" s="59" t="str">
        <f>IF($T884="","",COUNTIF($T$6:$T884,"?*"))</f>
        <v/>
      </c>
      <c r="V884" s="58" t="str">
        <f t="shared" si="125"/>
        <v/>
      </c>
    </row>
    <row r="885" spans="1:22" ht="12.95" customHeight="1" x14ac:dyDescent="0.25">
      <c r="A885" s="60" t="str">
        <f t="shared" si="117"/>
        <v/>
      </c>
      <c r="B885" s="37"/>
      <c r="C885" s="28"/>
      <c r="D885" s="35"/>
      <c r="E885" s="38"/>
      <c r="F885" s="38"/>
      <c r="G885" s="60" t="str">
        <f t="shared" si="118"/>
        <v/>
      </c>
      <c r="H885" s="61" t="str">
        <f t="shared" si="119"/>
        <v/>
      </c>
      <c r="I885" s="40"/>
      <c r="J885" s="62" t="str">
        <f t="shared" si="120"/>
        <v/>
      </c>
      <c r="K885" s="45" t="str">
        <f t="shared" si="121"/>
        <v/>
      </c>
      <c r="L885" s="55"/>
      <c r="M885" s="63">
        <f t="shared" si="122"/>
        <v>0</v>
      </c>
      <c r="N885" s="63">
        <f t="shared" si="123"/>
        <v>0</v>
      </c>
      <c r="O885" s="57"/>
      <c r="P885" s="40"/>
      <c r="Q885" s="60" t="str">
        <f>IF($D885="","",IF($K885&lt;&gt;"Balance Sheet / Clearing","-",IF(SUMPRODUCT(--(LEFT('7. Settlements'!$J$8:$J$107,7)=$A885),--('7. Settlements'!$M$8:$M$107="Tied out"))+SUMPRODUCT(--(LEFT('8. Transfers'!$H$9:$H$108,7)=$A885),--('8. Transfers'!$J$9:$J$108="Matched"))+SUMPRODUCT(--(LEFT('8. Transfers'!$I$9:$I$108,7)=$A885),--('8. Transfers'!$J$9:$J$108="Matched"))+IF($O885="",0,COUNTIFS('9. Payroll Allocation'!$B$234:$B$253,$O885,'9. Payroll Allocation'!$H$234:$H$253,"Tied out"))&gt;0,"Linked","MISSING DETAIL")))</f>
        <v/>
      </c>
      <c r="T885" s="58" t="str">
        <f t="shared" si="124"/>
        <v/>
      </c>
      <c r="U885" s="59" t="str">
        <f>IF($T885="","",COUNTIF($T$6:$T885,"?*"))</f>
        <v/>
      </c>
      <c r="V885" s="58" t="str">
        <f t="shared" si="125"/>
        <v/>
      </c>
    </row>
    <row r="886" spans="1:22" ht="12.95" customHeight="1" x14ac:dyDescent="0.25">
      <c r="A886" s="52" t="str">
        <f t="shared" si="117"/>
        <v/>
      </c>
      <c r="B886" s="37"/>
      <c r="C886" s="28"/>
      <c r="D886" s="35"/>
      <c r="E886" s="38"/>
      <c r="F886" s="38"/>
      <c r="G886" s="52" t="str">
        <f t="shared" si="118"/>
        <v/>
      </c>
      <c r="H886" s="53" t="str">
        <f t="shared" si="119"/>
        <v/>
      </c>
      <c r="I886" s="40"/>
      <c r="J886" s="54" t="str">
        <f t="shared" si="120"/>
        <v/>
      </c>
      <c r="K886" s="41" t="str">
        <f t="shared" si="121"/>
        <v/>
      </c>
      <c r="L886" s="55"/>
      <c r="M886" s="56">
        <f t="shared" si="122"/>
        <v>0</v>
      </c>
      <c r="N886" s="56">
        <f t="shared" si="123"/>
        <v>0</v>
      </c>
      <c r="O886" s="57"/>
      <c r="P886" s="40"/>
      <c r="Q886" s="52" t="str">
        <f>IF($D886="","",IF($K886&lt;&gt;"Balance Sheet / Clearing","-",IF(SUMPRODUCT(--(LEFT('7. Settlements'!$J$8:$J$107,7)=$A886),--('7. Settlements'!$M$8:$M$107="Tied out"))+SUMPRODUCT(--(LEFT('8. Transfers'!$H$9:$H$108,7)=$A886),--('8. Transfers'!$J$9:$J$108="Matched"))+SUMPRODUCT(--(LEFT('8. Transfers'!$I$9:$I$108,7)=$A886),--('8. Transfers'!$J$9:$J$108="Matched"))+IF($O886="",0,COUNTIFS('9. Payroll Allocation'!$B$234:$B$253,$O886,'9. Payroll Allocation'!$H$234:$H$253,"Tied out"))&gt;0,"Linked","MISSING DETAIL")))</f>
        <v/>
      </c>
      <c r="T886" s="58" t="str">
        <f t="shared" si="124"/>
        <v/>
      </c>
      <c r="U886" s="59" t="str">
        <f>IF($T886="","",COUNTIF($T$6:$T886,"?*"))</f>
        <v/>
      </c>
      <c r="V886" s="58" t="str">
        <f t="shared" si="125"/>
        <v/>
      </c>
    </row>
    <row r="887" spans="1:22" ht="12.95" customHeight="1" x14ac:dyDescent="0.25">
      <c r="A887" s="60" t="str">
        <f t="shared" si="117"/>
        <v/>
      </c>
      <c r="B887" s="37"/>
      <c r="C887" s="28"/>
      <c r="D887" s="35"/>
      <c r="E887" s="38"/>
      <c r="F887" s="38"/>
      <c r="G887" s="60" t="str">
        <f t="shared" si="118"/>
        <v/>
      </c>
      <c r="H887" s="61" t="str">
        <f t="shared" si="119"/>
        <v/>
      </c>
      <c r="I887" s="40"/>
      <c r="J887" s="62" t="str">
        <f t="shared" si="120"/>
        <v/>
      </c>
      <c r="K887" s="45" t="str">
        <f t="shared" si="121"/>
        <v/>
      </c>
      <c r="L887" s="55"/>
      <c r="M887" s="63">
        <f t="shared" si="122"/>
        <v>0</v>
      </c>
      <c r="N887" s="63">
        <f t="shared" si="123"/>
        <v>0</v>
      </c>
      <c r="O887" s="57"/>
      <c r="P887" s="40"/>
      <c r="Q887" s="60" t="str">
        <f>IF($D887="","",IF($K887&lt;&gt;"Balance Sheet / Clearing","-",IF(SUMPRODUCT(--(LEFT('7. Settlements'!$J$8:$J$107,7)=$A887),--('7. Settlements'!$M$8:$M$107="Tied out"))+SUMPRODUCT(--(LEFT('8. Transfers'!$H$9:$H$108,7)=$A887),--('8. Transfers'!$J$9:$J$108="Matched"))+SUMPRODUCT(--(LEFT('8. Transfers'!$I$9:$I$108,7)=$A887),--('8. Transfers'!$J$9:$J$108="Matched"))+IF($O887="",0,COUNTIFS('9. Payroll Allocation'!$B$234:$B$253,$O887,'9. Payroll Allocation'!$H$234:$H$253,"Tied out"))&gt;0,"Linked","MISSING DETAIL")))</f>
        <v/>
      </c>
      <c r="T887" s="58" t="str">
        <f t="shared" si="124"/>
        <v/>
      </c>
      <c r="U887" s="59" t="str">
        <f>IF($T887="","",COUNTIF($T$6:$T887,"?*"))</f>
        <v/>
      </c>
      <c r="V887" s="58" t="str">
        <f t="shared" si="125"/>
        <v/>
      </c>
    </row>
    <row r="888" spans="1:22" ht="12.95" customHeight="1" x14ac:dyDescent="0.25">
      <c r="A888" s="52" t="str">
        <f t="shared" si="117"/>
        <v/>
      </c>
      <c r="B888" s="37"/>
      <c r="C888" s="28"/>
      <c r="D888" s="35"/>
      <c r="E888" s="38"/>
      <c r="F888" s="38"/>
      <c r="G888" s="52" t="str">
        <f t="shared" si="118"/>
        <v/>
      </c>
      <c r="H888" s="53" t="str">
        <f t="shared" si="119"/>
        <v/>
      </c>
      <c r="I888" s="40"/>
      <c r="J888" s="54" t="str">
        <f t="shared" si="120"/>
        <v/>
      </c>
      <c r="K888" s="41" t="str">
        <f t="shared" si="121"/>
        <v/>
      </c>
      <c r="L888" s="55"/>
      <c r="M888" s="56">
        <f t="shared" si="122"/>
        <v>0</v>
      </c>
      <c r="N888" s="56">
        <f t="shared" si="123"/>
        <v>0</v>
      </c>
      <c r="O888" s="57"/>
      <c r="P888" s="40"/>
      <c r="Q888" s="52" t="str">
        <f>IF($D888="","",IF($K888&lt;&gt;"Balance Sheet / Clearing","-",IF(SUMPRODUCT(--(LEFT('7. Settlements'!$J$8:$J$107,7)=$A888),--('7. Settlements'!$M$8:$M$107="Tied out"))+SUMPRODUCT(--(LEFT('8. Transfers'!$H$9:$H$108,7)=$A888),--('8. Transfers'!$J$9:$J$108="Matched"))+SUMPRODUCT(--(LEFT('8. Transfers'!$I$9:$I$108,7)=$A888),--('8. Transfers'!$J$9:$J$108="Matched"))+IF($O888="",0,COUNTIFS('9. Payroll Allocation'!$B$234:$B$253,$O888,'9. Payroll Allocation'!$H$234:$H$253,"Tied out"))&gt;0,"Linked","MISSING DETAIL")))</f>
        <v/>
      </c>
      <c r="T888" s="58" t="str">
        <f t="shared" si="124"/>
        <v/>
      </c>
      <c r="U888" s="59" t="str">
        <f>IF($T888="","",COUNTIF($T$6:$T888,"?*"))</f>
        <v/>
      </c>
      <c r="V888" s="58" t="str">
        <f t="shared" si="125"/>
        <v/>
      </c>
    </row>
    <row r="889" spans="1:22" ht="12.95" customHeight="1" x14ac:dyDescent="0.25">
      <c r="A889" s="60" t="str">
        <f t="shared" si="117"/>
        <v/>
      </c>
      <c r="B889" s="37"/>
      <c r="C889" s="28"/>
      <c r="D889" s="35"/>
      <c r="E889" s="38"/>
      <c r="F889" s="38"/>
      <c r="G889" s="60" t="str">
        <f t="shared" si="118"/>
        <v/>
      </c>
      <c r="H889" s="61" t="str">
        <f t="shared" si="119"/>
        <v/>
      </c>
      <c r="I889" s="40"/>
      <c r="J889" s="62" t="str">
        <f t="shared" si="120"/>
        <v/>
      </c>
      <c r="K889" s="45" t="str">
        <f t="shared" si="121"/>
        <v/>
      </c>
      <c r="L889" s="55"/>
      <c r="M889" s="63">
        <f t="shared" si="122"/>
        <v>0</v>
      </c>
      <c r="N889" s="63">
        <f t="shared" si="123"/>
        <v>0</v>
      </c>
      <c r="O889" s="57"/>
      <c r="P889" s="40"/>
      <c r="Q889" s="60" t="str">
        <f>IF($D889="","",IF($K889&lt;&gt;"Balance Sheet / Clearing","-",IF(SUMPRODUCT(--(LEFT('7. Settlements'!$J$8:$J$107,7)=$A889),--('7. Settlements'!$M$8:$M$107="Tied out"))+SUMPRODUCT(--(LEFT('8. Transfers'!$H$9:$H$108,7)=$A889),--('8. Transfers'!$J$9:$J$108="Matched"))+SUMPRODUCT(--(LEFT('8. Transfers'!$I$9:$I$108,7)=$A889),--('8. Transfers'!$J$9:$J$108="Matched"))+IF($O889="",0,COUNTIFS('9. Payroll Allocation'!$B$234:$B$253,$O889,'9. Payroll Allocation'!$H$234:$H$253,"Tied out"))&gt;0,"Linked","MISSING DETAIL")))</f>
        <v/>
      </c>
      <c r="T889" s="58" t="str">
        <f t="shared" si="124"/>
        <v/>
      </c>
      <c r="U889" s="59" t="str">
        <f>IF($T889="","",COUNTIF($T$6:$T889,"?*"))</f>
        <v/>
      </c>
      <c r="V889" s="58" t="str">
        <f t="shared" si="125"/>
        <v/>
      </c>
    </row>
    <row r="890" spans="1:22" ht="12.95" customHeight="1" x14ac:dyDescent="0.25">
      <c r="A890" s="52" t="str">
        <f t="shared" si="117"/>
        <v/>
      </c>
      <c r="B890" s="37"/>
      <c r="C890" s="28"/>
      <c r="D890" s="35"/>
      <c r="E890" s="38"/>
      <c r="F890" s="38"/>
      <c r="G890" s="52" t="str">
        <f t="shared" si="118"/>
        <v/>
      </c>
      <c r="H890" s="53" t="str">
        <f t="shared" si="119"/>
        <v/>
      </c>
      <c r="I890" s="40"/>
      <c r="J890" s="54" t="str">
        <f t="shared" si="120"/>
        <v/>
      </c>
      <c r="K890" s="41" t="str">
        <f t="shared" si="121"/>
        <v/>
      </c>
      <c r="L890" s="55"/>
      <c r="M890" s="56">
        <f t="shared" si="122"/>
        <v>0</v>
      </c>
      <c r="N890" s="56">
        <f t="shared" si="123"/>
        <v>0</v>
      </c>
      <c r="O890" s="57"/>
      <c r="P890" s="40"/>
      <c r="Q890" s="52" t="str">
        <f>IF($D890="","",IF($K890&lt;&gt;"Balance Sheet / Clearing","-",IF(SUMPRODUCT(--(LEFT('7. Settlements'!$J$8:$J$107,7)=$A890),--('7. Settlements'!$M$8:$M$107="Tied out"))+SUMPRODUCT(--(LEFT('8. Transfers'!$H$9:$H$108,7)=$A890),--('8. Transfers'!$J$9:$J$108="Matched"))+SUMPRODUCT(--(LEFT('8. Transfers'!$I$9:$I$108,7)=$A890),--('8. Transfers'!$J$9:$J$108="Matched"))+IF($O890="",0,COUNTIFS('9. Payroll Allocation'!$B$234:$B$253,$O890,'9. Payroll Allocation'!$H$234:$H$253,"Tied out"))&gt;0,"Linked","MISSING DETAIL")))</f>
        <v/>
      </c>
      <c r="T890" s="58" t="str">
        <f t="shared" si="124"/>
        <v/>
      </c>
      <c r="U890" s="59" t="str">
        <f>IF($T890="","",COUNTIF($T$6:$T890,"?*"))</f>
        <v/>
      </c>
      <c r="V890" s="58" t="str">
        <f t="shared" si="125"/>
        <v/>
      </c>
    </row>
    <row r="891" spans="1:22" ht="12.95" customHeight="1" x14ac:dyDescent="0.25">
      <c r="A891" s="60" t="str">
        <f t="shared" si="117"/>
        <v/>
      </c>
      <c r="B891" s="37"/>
      <c r="C891" s="28"/>
      <c r="D891" s="35"/>
      <c r="E891" s="38"/>
      <c r="F891" s="38"/>
      <c r="G891" s="60" t="str">
        <f t="shared" si="118"/>
        <v/>
      </c>
      <c r="H891" s="61" t="str">
        <f t="shared" si="119"/>
        <v/>
      </c>
      <c r="I891" s="40"/>
      <c r="J891" s="62" t="str">
        <f t="shared" si="120"/>
        <v/>
      </c>
      <c r="K891" s="45" t="str">
        <f t="shared" si="121"/>
        <v/>
      </c>
      <c r="L891" s="55"/>
      <c r="M891" s="63">
        <f t="shared" si="122"/>
        <v>0</v>
      </c>
      <c r="N891" s="63">
        <f t="shared" si="123"/>
        <v>0</v>
      </c>
      <c r="O891" s="57"/>
      <c r="P891" s="40"/>
      <c r="Q891" s="60" t="str">
        <f>IF($D891="","",IF($K891&lt;&gt;"Balance Sheet / Clearing","-",IF(SUMPRODUCT(--(LEFT('7. Settlements'!$J$8:$J$107,7)=$A891),--('7. Settlements'!$M$8:$M$107="Tied out"))+SUMPRODUCT(--(LEFT('8. Transfers'!$H$9:$H$108,7)=$A891),--('8. Transfers'!$J$9:$J$108="Matched"))+SUMPRODUCT(--(LEFT('8. Transfers'!$I$9:$I$108,7)=$A891),--('8. Transfers'!$J$9:$J$108="Matched"))+IF($O891="",0,COUNTIFS('9. Payroll Allocation'!$B$234:$B$253,$O891,'9. Payroll Allocation'!$H$234:$H$253,"Tied out"))&gt;0,"Linked","MISSING DETAIL")))</f>
        <v/>
      </c>
      <c r="T891" s="58" t="str">
        <f t="shared" si="124"/>
        <v/>
      </c>
      <c r="U891" s="59" t="str">
        <f>IF($T891="","",COUNTIF($T$6:$T891,"?*"))</f>
        <v/>
      </c>
      <c r="V891" s="58" t="str">
        <f t="shared" si="125"/>
        <v/>
      </c>
    </row>
    <row r="892" spans="1:22" ht="12.95" customHeight="1" x14ac:dyDescent="0.25">
      <c r="A892" s="52" t="str">
        <f t="shared" si="117"/>
        <v/>
      </c>
      <c r="B892" s="37"/>
      <c r="C892" s="28"/>
      <c r="D892" s="35"/>
      <c r="E892" s="38"/>
      <c r="F892" s="38"/>
      <c r="G892" s="52" t="str">
        <f t="shared" si="118"/>
        <v/>
      </c>
      <c r="H892" s="53" t="str">
        <f t="shared" si="119"/>
        <v/>
      </c>
      <c r="I892" s="40"/>
      <c r="J892" s="54" t="str">
        <f t="shared" si="120"/>
        <v/>
      </c>
      <c r="K892" s="41" t="str">
        <f t="shared" si="121"/>
        <v/>
      </c>
      <c r="L892" s="55"/>
      <c r="M892" s="56">
        <f t="shared" si="122"/>
        <v>0</v>
      </c>
      <c r="N892" s="56">
        <f t="shared" si="123"/>
        <v>0</v>
      </c>
      <c r="O892" s="57"/>
      <c r="P892" s="40"/>
      <c r="Q892" s="52" t="str">
        <f>IF($D892="","",IF($K892&lt;&gt;"Balance Sheet / Clearing","-",IF(SUMPRODUCT(--(LEFT('7. Settlements'!$J$8:$J$107,7)=$A892),--('7. Settlements'!$M$8:$M$107="Tied out"))+SUMPRODUCT(--(LEFT('8. Transfers'!$H$9:$H$108,7)=$A892),--('8. Transfers'!$J$9:$J$108="Matched"))+SUMPRODUCT(--(LEFT('8. Transfers'!$I$9:$I$108,7)=$A892),--('8. Transfers'!$J$9:$J$108="Matched"))+IF($O892="",0,COUNTIFS('9. Payroll Allocation'!$B$234:$B$253,$O892,'9. Payroll Allocation'!$H$234:$H$253,"Tied out"))&gt;0,"Linked","MISSING DETAIL")))</f>
        <v/>
      </c>
      <c r="T892" s="58" t="str">
        <f t="shared" si="124"/>
        <v/>
      </c>
      <c r="U892" s="59" t="str">
        <f>IF($T892="","",COUNTIF($T$6:$T892,"?*"))</f>
        <v/>
      </c>
      <c r="V892" s="58" t="str">
        <f t="shared" si="125"/>
        <v/>
      </c>
    </row>
    <row r="893" spans="1:22" ht="12.95" customHeight="1" x14ac:dyDescent="0.25">
      <c r="A893" s="60" t="str">
        <f t="shared" si="117"/>
        <v/>
      </c>
      <c r="B893" s="37"/>
      <c r="C893" s="28"/>
      <c r="D893" s="35"/>
      <c r="E893" s="38"/>
      <c r="F893" s="38"/>
      <c r="G893" s="60" t="str">
        <f t="shared" si="118"/>
        <v/>
      </c>
      <c r="H893" s="61" t="str">
        <f t="shared" si="119"/>
        <v/>
      </c>
      <c r="I893" s="40"/>
      <c r="J893" s="62" t="str">
        <f t="shared" si="120"/>
        <v/>
      </c>
      <c r="K893" s="45" t="str">
        <f t="shared" si="121"/>
        <v/>
      </c>
      <c r="L893" s="55"/>
      <c r="M893" s="63">
        <f t="shared" si="122"/>
        <v>0</v>
      </c>
      <c r="N893" s="63">
        <f t="shared" si="123"/>
        <v>0</v>
      </c>
      <c r="O893" s="57"/>
      <c r="P893" s="40"/>
      <c r="Q893" s="60" t="str">
        <f>IF($D893="","",IF($K893&lt;&gt;"Balance Sheet / Clearing","-",IF(SUMPRODUCT(--(LEFT('7. Settlements'!$J$8:$J$107,7)=$A893),--('7. Settlements'!$M$8:$M$107="Tied out"))+SUMPRODUCT(--(LEFT('8. Transfers'!$H$9:$H$108,7)=$A893),--('8. Transfers'!$J$9:$J$108="Matched"))+SUMPRODUCT(--(LEFT('8. Transfers'!$I$9:$I$108,7)=$A893),--('8. Transfers'!$J$9:$J$108="Matched"))+IF($O893="",0,COUNTIFS('9. Payroll Allocation'!$B$234:$B$253,$O893,'9. Payroll Allocation'!$H$234:$H$253,"Tied out"))&gt;0,"Linked","MISSING DETAIL")))</f>
        <v/>
      </c>
      <c r="T893" s="58" t="str">
        <f t="shared" si="124"/>
        <v/>
      </c>
      <c r="U893" s="59" t="str">
        <f>IF($T893="","",COUNTIF($T$6:$T893,"?*"))</f>
        <v/>
      </c>
      <c r="V893" s="58" t="str">
        <f t="shared" si="125"/>
        <v/>
      </c>
    </row>
    <row r="894" spans="1:22" ht="12.95" customHeight="1" x14ac:dyDescent="0.25">
      <c r="A894" s="52" t="str">
        <f t="shared" si="117"/>
        <v/>
      </c>
      <c r="B894" s="37"/>
      <c r="C894" s="28"/>
      <c r="D894" s="35"/>
      <c r="E894" s="38"/>
      <c r="F894" s="38"/>
      <c r="G894" s="52" t="str">
        <f t="shared" si="118"/>
        <v/>
      </c>
      <c r="H894" s="53" t="str">
        <f t="shared" si="119"/>
        <v/>
      </c>
      <c r="I894" s="40"/>
      <c r="J894" s="54" t="str">
        <f t="shared" si="120"/>
        <v/>
      </c>
      <c r="K894" s="41" t="str">
        <f t="shared" si="121"/>
        <v/>
      </c>
      <c r="L894" s="55"/>
      <c r="M894" s="56">
        <f t="shared" si="122"/>
        <v>0</v>
      </c>
      <c r="N894" s="56">
        <f t="shared" si="123"/>
        <v>0</v>
      </c>
      <c r="O894" s="57"/>
      <c r="P894" s="40"/>
      <c r="Q894" s="52" t="str">
        <f>IF($D894="","",IF($K894&lt;&gt;"Balance Sheet / Clearing","-",IF(SUMPRODUCT(--(LEFT('7. Settlements'!$J$8:$J$107,7)=$A894),--('7. Settlements'!$M$8:$M$107="Tied out"))+SUMPRODUCT(--(LEFT('8. Transfers'!$H$9:$H$108,7)=$A894),--('8. Transfers'!$J$9:$J$108="Matched"))+SUMPRODUCT(--(LEFT('8. Transfers'!$I$9:$I$108,7)=$A894),--('8. Transfers'!$J$9:$J$108="Matched"))+IF($O894="",0,COUNTIFS('9. Payroll Allocation'!$B$234:$B$253,$O894,'9. Payroll Allocation'!$H$234:$H$253,"Tied out"))&gt;0,"Linked","MISSING DETAIL")))</f>
        <v/>
      </c>
      <c r="T894" s="58" t="str">
        <f t="shared" si="124"/>
        <v/>
      </c>
      <c r="U894" s="59" t="str">
        <f>IF($T894="","",COUNTIF($T$6:$T894,"?*"))</f>
        <v/>
      </c>
      <c r="V894" s="58" t="str">
        <f t="shared" si="125"/>
        <v/>
      </c>
    </row>
    <row r="895" spans="1:22" ht="12.95" customHeight="1" x14ac:dyDescent="0.25">
      <c r="A895" s="60" t="str">
        <f t="shared" si="117"/>
        <v/>
      </c>
      <c r="B895" s="37"/>
      <c r="C895" s="28"/>
      <c r="D895" s="35"/>
      <c r="E895" s="38"/>
      <c r="F895" s="38"/>
      <c r="G895" s="60" t="str">
        <f t="shared" si="118"/>
        <v/>
      </c>
      <c r="H895" s="61" t="str">
        <f t="shared" si="119"/>
        <v/>
      </c>
      <c r="I895" s="40"/>
      <c r="J895" s="62" t="str">
        <f t="shared" si="120"/>
        <v/>
      </c>
      <c r="K895" s="45" t="str">
        <f t="shared" si="121"/>
        <v/>
      </c>
      <c r="L895" s="55"/>
      <c r="M895" s="63">
        <f t="shared" si="122"/>
        <v>0</v>
      </c>
      <c r="N895" s="63">
        <f t="shared" si="123"/>
        <v>0</v>
      </c>
      <c r="O895" s="57"/>
      <c r="P895" s="40"/>
      <c r="Q895" s="60" t="str">
        <f>IF($D895="","",IF($K895&lt;&gt;"Balance Sheet / Clearing","-",IF(SUMPRODUCT(--(LEFT('7. Settlements'!$J$8:$J$107,7)=$A895),--('7. Settlements'!$M$8:$M$107="Tied out"))+SUMPRODUCT(--(LEFT('8. Transfers'!$H$9:$H$108,7)=$A895),--('8. Transfers'!$J$9:$J$108="Matched"))+SUMPRODUCT(--(LEFT('8. Transfers'!$I$9:$I$108,7)=$A895),--('8. Transfers'!$J$9:$J$108="Matched"))+IF($O895="",0,COUNTIFS('9. Payroll Allocation'!$B$234:$B$253,$O895,'9. Payroll Allocation'!$H$234:$H$253,"Tied out"))&gt;0,"Linked","MISSING DETAIL")))</f>
        <v/>
      </c>
      <c r="T895" s="58" t="str">
        <f t="shared" si="124"/>
        <v/>
      </c>
      <c r="U895" s="59" t="str">
        <f>IF($T895="","",COUNTIF($T$6:$T895,"?*"))</f>
        <v/>
      </c>
      <c r="V895" s="58" t="str">
        <f t="shared" si="125"/>
        <v/>
      </c>
    </row>
    <row r="896" spans="1:22" ht="12.95" customHeight="1" x14ac:dyDescent="0.25">
      <c r="A896" s="52" t="str">
        <f t="shared" si="117"/>
        <v/>
      </c>
      <c r="B896" s="37"/>
      <c r="C896" s="28"/>
      <c r="D896" s="35"/>
      <c r="E896" s="38"/>
      <c r="F896" s="38"/>
      <c r="G896" s="52" t="str">
        <f t="shared" si="118"/>
        <v/>
      </c>
      <c r="H896" s="53" t="str">
        <f t="shared" si="119"/>
        <v/>
      </c>
      <c r="I896" s="40"/>
      <c r="J896" s="54" t="str">
        <f t="shared" si="120"/>
        <v/>
      </c>
      <c r="K896" s="41" t="str">
        <f t="shared" si="121"/>
        <v/>
      </c>
      <c r="L896" s="55"/>
      <c r="M896" s="56">
        <f t="shared" si="122"/>
        <v>0</v>
      </c>
      <c r="N896" s="56">
        <f t="shared" si="123"/>
        <v>0</v>
      </c>
      <c r="O896" s="57"/>
      <c r="P896" s="40"/>
      <c r="Q896" s="52" t="str">
        <f>IF($D896="","",IF($K896&lt;&gt;"Balance Sheet / Clearing","-",IF(SUMPRODUCT(--(LEFT('7. Settlements'!$J$8:$J$107,7)=$A896),--('7. Settlements'!$M$8:$M$107="Tied out"))+SUMPRODUCT(--(LEFT('8. Transfers'!$H$9:$H$108,7)=$A896),--('8. Transfers'!$J$9:$J$108="Matched"))+SUMPRODUCT(--(LEFT('8. Transfers'!$I$9:$I$108,7)=$A896),--('8. Transfers'!$J$9:$J$108="Matched"))+IF($O896="",0,COUNTIFS('9. Payroll Allocation'!$B$234:$B$253,$O896,'9. Payroll Allocation'!$H$234:$H$253,"Tied out"))&gt;0,"Linked","MISSING DETAIL")))</f>
        <v/>
      </c>
      <c r="T896" s="58" t="str">
        <f t="shared" si="124"/>
        <v/>
      </c>
      <c r="U896" s="59" t="str">
        <f>IF($T896="","",COUNTIF($T$6:$T896,"?*"))</f>
        <v/>
      </c>
      <c r="V896" s="58" t="str">
        <f t="shared" si="125"/>
        <v/>
      </c>
    </row>
    <row r="897" spans="1:22" ht="12.95" customHeight="1" x14ac:dyDescent="0.25">
      <c r="A897" s="60" t="str">
        <f t="shared" si="117"/>
        <v/>
      </c>
      <c r="B897" s="37"/>
      <c r="C897" s="28"/>
      <c r="D897" s="35"/>
      <c r="E897" s="38"/>
      <c r="F897" s="38"/>
      <c r="G897" s="60" t="str">
        <f t="shared" si="118"/>
        <v/>
      </c>
      <c r="H897" s="61" t="str">
        <f t="shared" si="119"/>
        <v/>
      </c>
      <c r="I897" s="40"/>
      <c r="J897" s="62" t="str">
        <f t="shared" si="120"/>
        <v/>
      </c>
      <c r="K897" s="45" t="str">
        <f t="shared" si="121"/>
        <v/>
      </c>
      <c r="L897" s="55"/>
      <c r="M897" s="63">
        <f t="shared" si="122"/>
        <v>0</v>
      </c>
      <c r="N897" s="63">
        <f t="shared" si="123"/>
        <v>0</v>
      </c>
      <c r="O897" s="57"/>
      <c r="P897" s="40"/>
      <c r="Q897" s="60" t="str">
        <f>IF($D897="","",IF($K897&lt;&gt;"Balance Sheet / Clearing","-",IF(SUMPRODUCT(--(LEFT('7. Settlements'!$J$8:$J$107,7)=$A897),--('7. Settlements'!$M$8:$M$107="Tied out"))+SUMPRODUCT(--(LEFT('8. Transfers'!$H$9:$H$108,7)=$A897),--('8. Transfers'!$J$9:$J$108="Matched"))+SUMPRODUCT(--(LEFT('8. Transfers'!$I$9:$I$108,7)=$A897),--('8. Transfers'!$J$9:$J$108="Matched"))+IF($O897="",0,COUNTIFS('9. Payroll Allocation'!$B$234:$B$253,$O897,'9. Payroll Allocation'!$H$234:$H$253,"Tied out"))&gt;0,"Linked","MISSING DETAIL")))</f>
        <v/>
      </c>
      <c r="T897" s="58" t="str">
        <f t="shared" si="124"/>
        <v/>
      </c>
      <c r="U897" s="59" t="str">
        <f>IF($T897="","",COUNTIF($T$6:$T897,"?*"))</f>
        <v/>
      </c>
      <c r="V897" s="58" t="str">
        <f t="shared" si="125"/>
        <v/>
      </c>
    </row>
    <row r="898" spans="1:22" ht="12.95" customHeight="1" x14ac:dyDescent="0.25">
      <c r="A898" s="52" t="str">
        <f t="shared" si="117"/>
        <v/>
      </c>
      <c r="B898" s="37"/>
      <c r="C898" s="28"/>
      <c r="D898" s="35"/>
      <c r="E898" s="38"/>
      <c r="F898" s="38"/>
      <c r="G898" s="52" t="str">
        <f t="shared" si="118"/>
        <v/>
      </c>
      <c r="H898" s="53" t="str">
        <f t="shared" si="119"/>
        <v/>
      </c>
      <c r="I898" s="40"/>
      <c r="J898" s="54" t="str">
        <f t="shared" si="120"/>
        <v/>
      </c>
      <c r="K898" s="41" t="str">
        <f t="shared" si="121"/>
        <v/>
      </c>
      <c r="L898" s="55"/>
      <c r="M898" s="56">
        <f t="shared" si="122"/>
        <v>0</v>
      </c>
      <c r="N898" s="56">
        <f t="shared" si="123"/>
        <v>0</v>
      </c>
      <c r="O898" s="57"/>
      <c r="P898" s="40"/>
      <c r="Q898" s="52" t="str">
        <f>IF($D898="","",IF($K898&lt;&gt;"Balance Sheet / Clearing","-",IF(SUMPRODUCT(--(LEFT('7. Settlements'!$J$8:$J$107,7)=$A898),--('7. Settlements'!$M$8:$M$107="Tied out"))+SUMPRODUCT(--(LEFT('8. Transfers'!$H$9:$H$108,7)=$A898),--('8. Transfers'!$J$9:$J$108="Matched"))+SUMPRODUCT(--(LEFT('8. Transfers'!$I$9:$I$108,7)=$A898),--('8. Transfers'!$J$9:$J$108="Matched"))+IF($O898="",0,COUNTIFS('9. Payroll Allocation'!$B$234:$B$253,$O898,'9. Payroll Allocation'!$H$234:$H$253,"Tied out"))&gt;0,"Linked","MISSING DETAIL")))</f>
        <v/>
      </c>
      <c r="T898" s="58" t="str">
        <f t="shared" si="124"/>
        <v/>
      </c>
      <c r="U898" s="59" t="str">
        <f>IF($T898="","",COUNTIF($T$6:$T898,"?*"))</f>
        <v/>
      </c>
      <c r="V898" s="58" t="str">
        <f t="shared" si="125"/>
        <v/>
      </c>
    </row>
    <row r="899" spans="1:22" ht="12.95" customHeight="1" x14ac:dyDescent="0.25">
      <c r="A899" s="60" t="str">
        <f t="shared" si="117"/>
        <v/>
      </c>
      <c r="B899" s="37"/>
      <c r="C899" s="28"/>
      <c r="D899" s="35"/>
      <c r="E899" s="38"/>
      <c r="F899" s="38"/>
      <c r="G899" s="60" t="str">
        <f t="shared" si="118"/>
        <v/>
      </c>
      <c r="H899" s="61" t="str">
        <f t="shared" si="119"/>
        <v/>
      </c>
      <c r="I899" s="40"/>
      <c r="J899" s="62" t="str">
        <f t="shared" si="120"/>
        <v/>
      </c>
      <c r="K899" s="45" t="str">
        <f t="shared" si="121"/>
        <v/>
      </c>
      <c r="L899" s="55"/>
      <c r="M899" s="63">
        <f t="shared" si="122"/>
        <v>0</v>
      </c>
      <c r="N899" s="63">
        <f t="shared" si="123"/>
        <v>0</v>
      </c>
      <c r="O899" s="57"/>
      <c r="P899" s="40"/>
      <c r="Q899" s="60" t="str">
        <f>IF($D899="","",IF($K899&lt;&gt;"Balance Sheet / Clearing","-",IF(SUMPRODUCT(--(LEFT('7. Settlements'!$J$8:$J$107,7)=$A899),--('7. Settlements'!$M$8:$M$107="Tied out"))+SUMPRODUCT(--(LEFT('8. Transfers'!$H$9:$H$108,7)=$A899),--('8. Transfers'!$J$9:$J$108="Matched"))+SUMPRODUCT(--(LEFT('8. Transfers'!$I$9:$I$108,7)=$A899),--('8. Transfers'!$J$9:$J$108="Matched"))+IF($O899="",0,COUNTIFS('9. Payroll Allocation'!$B$234:$B$253,$O899,'9. Payroll Allocation'!$H$234:$H$253,"Tied out"))&gt;0,"Linked","MISSING DETAIL")))</f>
        <v/>
      </c>
      <c r="T899" s="58" t="str">
        <f t="shared" si="124"/>
        <v/>
      </c>
      <c r="U899" s="59" t="str">
        <f>IF($T899="","",COUNTIF($T$6:$T899,"?*"))</f>
        <v/>
      </c>
      <c r="V899" s="58" t="str">
        <f t="shared" si="125"/>
        <v/>
      </c>
    </row>
    <row r="900" spans="1:22" ht="12.95" customHeight="1" x14ac:dyDescent="0.25">
      <c r="A900" s="52" t="str">
        <f t="shared" si="117"/>
        <v/>
      </c>
      <c r="B900" s="37"/>
      <c r="C900" s="28"/>
      <c r="D900" s="35"/>
      <c r="E900" s="38"/>
      <c r="F900" s="38"/>
      <c r="G900" s="52" t="str">
        <f t="shared" si="118"/>
        <v/>
      </c>
      <c r="H900" s="53" t="str">
        <f t="shared" si="119"/>
        <v/>
      </c>
      <c r="I900" s="40"/>
      <c r="J900" s="54" t="str">
        <f t="shared" si="120"/>
        <v/>
      </c>
      <c r="K900" s="41" t="str">
        <f t="shared" si="121"/>
        <v/>
      </c>
      <c r="L900" s="55"/>
      <c r="M900" s="56">
        <f t="shared" si="122"/>
        <v>0</v>
      </c>
      <c r="N900" s="56">
        <f t="shared" si="123"/>
        <v>0</v>
      </c>
      <c r="O900" s="57"/>
      <c r="P900" s="40"/>
      <c r="Q900" s="52" t="str">
        <f>IF($D900="","",IF($K900&lt;&gt;"Balance Sheet / Clearing","-",IF(SUMPRODUCT(--(LEFT('7. Settlements'!$J$8:$J$107,7)=$A900),--('7. Settlements'!$M$8:$M$107="Tied out"))+SUMPRODUCT(--(LEFT('8. Transfers'!$H$9:$H$108,7)=$A900),--('8. Transfers'!$J$9:$J$108="Matched"))+SUMPRODUCT(--(LEFT('8. Transfers'!$I$9:$I$108,7)=$A900),--('8. Transfers'!$J$9:$J$108="Matched"))+IF($O900="",0,COUNTIFS('9. Payroll Allocation'!$B$234:$B$253,$O900,'9. Payroll Allocation'!$H$234:$H$253,"Tied out"))&gt;0,"Linked","MISSING DETAIL")))</f>
        <v/>
      </c>
      <c r="T900" s="58" t="str">
        <f t="shared" si="124"/>
        <v/>
      </c>
      <c r="U900" s="59" t="str">
        <f>IF($T900="","",COUNTIF($T$6:$T900,"?*"))</f>
        <v/>
      </c>
      <c r="V900" s="58" t="str">
        <f t="shared" si="125"/>
        <v/>
      </c>
    </row>
    <row r="901" spans="1:22" ht="12.95" customHeight="1" x14ac:dyDescent="0.25">
      <c r="A901" s="60" t="str">
        <f t="shared" si="117"/>
        <v/>
      </c>
      <c r="B901" s="37"/>
      <c r="C901" s="28"/>
      <c r="D901" s="35"/>
      <c r="E901" s="38"/>
      <c r="F901" s="38"/>
      <c r="G901" s="60" t="str">
        <f t="shared" si="118"/>
        <v/>
      </c>
      <c r="H901" s="61" t="str">
        <f t="shared" si="119"/>
        <v/>
      </c>
      <c r="I901" s="40"/>
      <c r="J901" s="62" t="str">
        <f t="shared" si="120"/>
        <v/>
      </c>
      <c r="K901" s="45" t="str">
        <f t="shared" si="121"/>
        <v/>
      </c>
      <c r="L901" s="55"/>
      <c r="M901" s="63">
        <f t="shared" si="122"/>
        <v>0</v>
      </c>
      <c r="N901" s="63">
        <f t="shared" si="123"/>
        <v>0</v>
      </c>
      <c r="O901" s="57"/>
      <c r="P901" s="40"/>
      <c r="Q901" s="60" t="str">
        <f>IF($D901="","",IF($K901&lt;&gt;"Balance Sheet / Clearing","-",IF(SUMPRODUCT(--(LEFT('7. Settlements'!$J$8:$J$107,7)=$A901),--('7. Settlements'!$M$8:$M$107="Tied out"))+SUMPRODUCT(--(LEFT('8. Transfers'!$H$9:$H$108,7)=$A901),--('8. Transfers'!$J$9:$J$108="Matched"))+SUMPRODUCT(--(LEFT('8. Transfers'!$I$9:$I$108,7)=$A901),--('8. Transfers'!$J$9:$J$108="Matched"))+IF($O901="",0,COUNTIFS('9. Payroll Allocation'!$B$234:$B$253,$O901,'9. Payroll Allocation'!$H$234:$H$253,"Tied out"))&gt;0,"Linked","MISSING DETAIL")))</f>
        <v/>
      </c>
      <c r="T901" s="58" t="str">
        <f t="shared" si="124"/>
        <v/>
      </c>
      <c r="U901" s="59" t="str">
        <f>IF($T901="","",COUNTIF($T$6:$T901,"?*"))</f>
        <v/>
      </c>
      <c r="V901" s="58" t="str">
        <f t="shared" si="125"/>
        <v/>
      </c>
    </row>
    <row r="902" spans="1:22" ht="12.95" customHeight="1" x14ac:dyDescent="0.25">
      <c r="A902" s="52" t="str">
        <f t="shared" ref="A902:A965" si="126">IF($D902="","","TX-"&amp;TEXT(ROW()-5,"0000"))</f>
        <v/>
      </c>
      <c r="B902" s="37"/>
      <c r="C902" s="28"/>
      <c r="D902" s="35"/>
      <c r="E902" s="38"/>
      <c r="F902" s="38"/>
      <c r="G902" s="52" t="str">
        <f t="shared" ref="G902:G965" si="127">IF($D902="","",IFERROR(_xlfn.AGGREGATE(15,6,Rules_Pri/((ISNUMBER(SEARCH(Rules_Key,$D902)))*(Rules_Key&lt;&gt;"")*(Rules_Active="Yes")*((Rules_Dir="Any")+(Rules_Dir=IF(N($E902)&gt;0,"In","Out")))),1),""))</f>
        <v/>
      </c>
      <c r="H902" s="53" t="str">
        <f t="shared" ref="H902:H965" si="128">IF($D902="","",IF($G902="",IF(N($E902)&gt;0,"Uncategorized Deposit - NEEDS REVIEW","Uncategorized - NEEDS REVIEW"),INDEX(Rules_Cat,MATCH(1,INDEX(((ISNUMBER(SEARCH(Rules_Key,$D902)))*(Rules_Key&lt;&gt;"")*(Rules_Active="Yes")*((Rules_Dir="Any")+(Rules_Dir=IF(N($E902)&gt;0,"In","Out"))))*(Rules_Pri=$G902),0),0))))</f>
        <v/>
      </c>
      <c r="I902" s="40"/>
      <c r="J902" s="54" t="str">
        <f t="shared" ref="J902:J965" si="129">IF($D902="","",IF($I902&lt;&gt;"",$I902,$H902))</f>
        <v/>
      </c>
      <c r="K902" s="41" t="str">
        <f t="shared" ref="K902:K965" si="130">IF($J902="","",IFERROR(INDEX(Cat_Treatment,MATCH($J902,Cat_Name,0)),"Review Required"))</f>
        <v/>
      </c>
      <c r="L902" s="55"/>
      <c r="M902" s="56">
        <f t="shared" ref="M902:M965" si="131">IF($K902&lt;&gt;"Operating Expense",0,IF(AND($L902&lt;&gt;"",OR(N($L902)&lt;0,N($L902)&gt;1)),0,ROUND(N($F902)*IF($L902="",1,$L902),2)))</f>
        <v>0</v>
      </c>
      <c r="N902" s="56">
        <f t="shared" ref="N902:N965" si="132">IF($K902="Operating Revenue",ROUND(N($E902)-N($F902),2),0)</f>
        <v>0</v>
      </c>
      <c r="O902" s="57"/>
      <c r="P902" s="40"/>
      <c r="Q902" s="52" t="str">
        <f>IF($D902="","",IF($K902&lt;&gt;"Balance Sheet / Clearing","-",IF(SUMPRODUCT(--(LEFT('7. Settlements'!$J$8:$J$107,7)=$A902),--('7. Settlements'!$M$8:$M$107="Tied out"))+SUMPRODUCT(--(LEFT('8. Transfers'!$H$9:$H$108,7)=$A902),--('8. Transfers'!$J$9:$J$108="Matched"))+SUMPRODUCT(--(LEFT('8. Transfers'!$I$9:$I$108,7)=$A902),--('8. Transfers'!$J$9:$J$108="Matched"))+IF($O902="",0,COUNTIFS('9. Payroll Allocation'!$B$234:$B$253,$O902,'9. Payroll Allocation'!$H$234:$H$253,"Tied out"))&gt;0,"Linked","MISSING DETAIL")))</f>
        <v/>
      </c>
      <c r="T902" s="58" t="str">
        <f t="shared" ref="T902:T965" si="133">IF(OR($D902="",$K902&lt;&gt;"Balance Sheet / Clearing"),"",$A902&amp;" · "&amp;TEXT($B902,"mm/dd")&amp;" · "&amp;LEFT($D902,24)&amp;" · "&amp;TEXT(N($E902)+N($F902),"#,##0.00"))</f>
        <v/>
      </c>
      <c r="U902" s="59" t="str">
        <f>IF($T902="","",COUNTIF($T$6:$T902,"?*"))</f>
        <v/>
      </c>
      <c r="V902" s="58" t="str">
        <f t="shared" ref="V902:V965" si="134">IFERROR(INDEX($T$6:$T$1005,MATCH(ROW()-5,$U$6:$U$1005,0)),"")</f>
        <v/>
      </c>
    </row>
    <row r="903" spans="1:22" ht="12.95" customHeight="1" x14ac:dyDescent="0.25">
      <c r="A903" s="60" t="str">
        <f t="shared" si="126"/>
        <v/>
      </c>
      <c r="B903" s="37"/>
      <c r="C903" s="28"/>
      <c r="D903" s="35"/>
      <c r="E903" s="38"/>
      <c r="F903" s="38"/>
      <c r="G903" s="60" t="str">
        <f t="shared" si="127"/>
        <v/>
      </c>
      <c r="H903" s="61" t="str">
        <f t="shared" si="128"/>
        <v/>
      </c>
      <c r="I903" s="40"/>
      <c r="J903" s="62" t="str">
        <f t="shared" si="129"/>
        <v/>
      </c>
      <c r="K903" s="45" t="str">
        <f t="shared" si="130"/>
        <v/>
      </c>
      <c r="L903" s="55"/>
      <c r="M903" s="63">
        <f t="shared" si="131"/>
        <v>0</v>
      </c>
      <c r="N903" s="63">
        <f t="shared" si="132"/>
        <v>0</v>
      </c>
      <c r="O903" s="57"/>
      <c r="P903" s="40"/>
      <c r="Q903" s="60" t="str">
        <f>IF($D903="","",IF($K903&lt;&gt;"Balance Sheet / Clearing","-",IF(SUMPRODUCT(--(LEFT('7. Settlements'!$J$8:$J$107,7)=$A903),--('7. Settlements'!$M$8:$M$107="Tied out"))+SUMPRODUCT(--(LEFT('8. Transfers'!$H$9:$H$108,7)=$A903),--('8. Transfers'!$J$9:$J$108="Matched"))+SUMPRODUCT(--(LEFT('8. Transfers'!$I$9:$I$108,7)=$A903),--('8. Transfers'!$J$9:$J$108="Matched"))+IF($O903="",0,COUNTIFS('9. Payroll Allocation'!$B$234:$B$253,$O903,'9. Payroll Allocation'!$H$234:$H$253,"Tied out"))&gt;0,"Linked","MISSING DETAIL")))</f>
        <v/>
      </c>
      <c r="T903" s="58" t="str">
        <f t="shared" si="133"/>
        <v/>
      </c>
      <c r="U903" s="59" t="str">
        <f>IF($T903="","",COUNTIF($T$6:$T903,"?*"))</f>
        <v/>
      </c>
      <c r="V903" s="58" t="str">
        <f t="shared" si="134"/>
        <v/>
      </c>
    </row>
    <row r="904" spans="1:22" ht="12.95" customHeight="1" x14ac:dyDescent="0.25">
      <c r="A904" s="52" t="str">
        <f t="shared" si="126"/>
        <v/>
      </c>
      <c r="B904" s="37"/>
      <c r="C904" s="28"/>
      <c r="D904" s="35"/>
      <c r="E904" s="38"/>
      <c r="F904" s="38"/>
      <c r="G904" s="52" t="str">
        <f t="shared" si="127"/>
        <v/>
      </c>
      <c r="H904" s="53" t="str">
        <f t="shared" si="128"/>
        <v/>
      </c>
      <c r="I904" s="40"/>
      <c r="J904" s="54" t="str">
        <f t="shared" si="129"/>
        <v/>
      </c>
      <c r="K904" s="41" t="str">
        <f t="shared" si="130"/>
        <v/>
      </c>
      <c r="L904" s="55"/>
      <c r="M904" s="56">
        <f t="shared" si="131"/>
        <v>0</v>
      </c>
      <c r="N904" s="56">
        <f t="shared" si="132"/>
        <v>0</v>
      </c>
      <c r="O904" s="57"/>
      <c r="P904" s="40"/>
      <c r="Q904" s="52" t="str">
        <f>IF($D904="","",IF($K904&lt;&gt;"Balance Sheet / Clearing","-",IF(SUMPRODUCT(--(LEFT('7. Settlements'!$J$8:$J$107,7)=$A904),--('7. Settlements'!$M$8:$M$107="Tied out"))+SUMPRODUCT(--(LEFT('8. Transfers'!$H$9:$H$108,7)=$A904),--('8. Transfers'!$J$9:$J$108="Matched"))+SUMPRODUCT(--(LEFT('8. Transfers'!$I$9:$I$108,7)=$A904),--('8. Transfers'!$J$9:$J$108="Matched"))+IF($O904="",0,COUNTIFS('9. Payroll Allocation'!$B$234:$B$253,$O904,'9. Payroll Allocation'!$H$234:$H$253,"Tied out"))&gt;0,"Linked","MISSING DETAIL")))</f>
        <v/>
      </c>
      <c r="T904" s="58" t="str">
        <f t="shared" si="133"/>
        <v/>
      </c>
      <c r="U904" s="59" t="str">
        <f>IF($T904="","",COUNTIF($T$6:$T904,"?*"))</f>
        <v/>
      </c>
      <c r="V904" s="58" t="str">
        <f t="shared" si="134"/>
        <v/>
      </c>
    </row>
    <row r="905" spans="1:22" ht="12.95" customHeight="1" x14ac:dyDescent="0.25">
      <c r="A905" s="60" t="str">
        <f t="shared" si="126"/>
        <v/>
      </c>
      <c r="B905" s="37"/>
      <c r="C905" s="28"/>
      <c r="D905" s="35"/>
      <c r="E905" s="38"/>
      <c r="F905" s="38"/>
      <c r="G905" s="60" t="str">
        <f t="shared" si="127"/>
        <v/>
      </c>
      <c r="H905" s="61" t="str">
        <f t="shared" si="128"/>
        <v/>
      </c>
      <c r="I905" s="40"/>
      <c r="J905" s="62" t="str">
        <f t="shared" si="129"/>
        <v/>
      </c>
      <c r="K905" s="45" t="str">
        <f t="shared" si="130"/>
        <v/>
      </c>
      <c r="L905" s="55"/>
      <c r="M905" s="63">
        <f t="shared" si="131"/>
        <v>0</v>
      </c>
      <c r="N905" s="63">
        <f t="shared" si="132"/>
        <v>0</v>
      </c>
      <c r="O905" s="57"/>
      <c r="P905" s="40"/>
      <c r="Q905" s="60" t="str">
        <f>IF($D905="","",IF($K905&lt;&gt;"Balance Sheet / Clearing","-",IF(SUMPRODUCT(--(LEFT('7. Settlements'!$J$8:$J$107,7)=$A905),--('7. Settlements'!$M$8:$M$107="Tied out"))+SUMPRODUCT(--(LEFT('8. Transfers'!$H$9:$H$108,7)=$A905),--('8. Transfers'!$J$9:$J$108="Matched"))+SUMPRODUCT(--(LEFT('8. Transfers'!$I$9:$I$108,7)=$A905),--('8. Transfers'!$J$9:$J$108="Matched"))+IF($O905="",0,COUNTIFS('9. Payroll Allocation'!$B$234:$B$253,$O905,'9. Payroll Allocation'!$H$234:$H$253,"Tied out"))&gt;0,"Linked","MISSING DETAIL")))</f>
        <v/>
      </c>
      <c r="T905" s="58" t="str">
        <f t="shared" si="133"/>
        <v/>
      </c>
      <c r="U905" s="59" t="str">
        <f>IF($T905="","",COUNTIF($T$6:$T905,"?*"))</f>
        <v/>
      </c>
      <c r="V905" s="58" t="str">
        <f t="shared" si="134"/>
        <v/>
      </c>
    </row>
    <row r="906" spans="1:22" ht="12.95" customHeight="1" x14ac:dyDescent="0.25">
      <c r="A906" s="52" t="str">
        <f t="shared" si="126"/>
        <v/>
      </c>
      <c r="B906" s="37"/>
      <c r="C906" s="28"/>
      <c r="D906" s="35"/>
      <c r="E906" s="38"/>
      <c r="F906" s="38"/>
      <c r="G906" s="52" t="str">
        <f t="shared" si="127"/>
        <v/>
      </c>
      <c r="H906" s="53" t="str">
        <f t="shared" si="128"/>
        <v/>
      </c>
      <c r="I906" s="40"/>
      <c r="J906" s="54" t="str">
        <f t="shared" si="129"/>
        <v/>
      </c>
      <c r="K906" s="41" t="str">
        <f t="shared" si="130"/>
        <v/>
      </c>
      <c r="L906" s="55"/>
      <c r="M906" s="56">
        <f t="shared" si="131"/>
        <v>0</v>
      </c>
      <c r="N906" s="56">
        <f t="shared" si="132"/>
        <v>0</v>
      </c>
      <c r="O906" s="57"/>
      <c r="P906" s="40"/>
      <c r="Q906" s="52" t="str">
        <f>IF($D906="","",IF($K906&lt;&gt;"Balance Sheet / Clearing","-",IF(SUMPRODUCT(--(LEFT('7. Settlements'!$J$8:$J$107,7)=$A906),--('7. Settlements'!$M$8:$M$107="Tied out"))+SUMPRODUCT(--(LEFT('8. Transfers'!$H$9:$H$108,7)=$A906),--('8. Transfers'!$J$9:$J$108="Matched"))+SUMPRODUCT(--(LEFT('8. Transfers'!$I$9:$I$108,7)=$A906),--('8. Transfers'!$J$9:$J$108="Matched"))+IF($O906="",0,COUNTIFS('9. Payroll Allocation'!$B$234:$B$253,$O906,'9. Payroll Allocation'!$H$234:$H$253,"Tied out"))&gt;0,"Linked","MISSING DETAIL")))</f>
        <v/>
      </c>
      <c r="T906" s="58" t="str">
        <f t="shared" si="133"/>
        <v/>
      </c>
      <c r="U906" s="59" t="str">
        <f>IF($T906="","",COUNTIF($T$6:$T906,"?*"))</f>
        <v/>
      </c>
      <c r="V906" s="58" t="str">
        <f t="shared" si="134"/>
        <v/>
      </c>
    </row>
    <row r="907" spans="1:22" ht="12.95" customHeight="1" x14ac:dyDescent="0.25">
      <c r="A907" s="60" t="str">
        <f t="shared" si="126"/>
        <v/>
      </c>
      <c r="B907" s="37"/>
      <c r="C907" s="28"/>
      <c r="D907" s="35"/>
      <c r="E907" s="38"/>
      <c r="F907" s="38"/>
      <c r="G907" s="60" t="str">
        <f t="shared" si="127"/>
        <v/>
      </c>
      <c r="H907" s="61" t="str">
        <f t="shared" si="128"/>
        <v/>
      </c>
      <c r="I907" s="40"/>
      <c r="J907" s="62" t="str">
        <f t="shared" si="129"/>
        <v/>
      </c>
      <c r="K907" s="45" t="str">
        <f t="shared" si="130"/>
        <v/>
      </c>
      <c r="L907" s="55"/>
      <c r="M907" s="63">
        <f t="shared" si="131"/>
        <v>0</v>
      </c>
      <c r="N907" s="63">
        <f t="shared" si="132"/>
        <v>0</v>
      </c>
      <c r="O907" s="57"/>
      <c r="P907" s="40"/>
      <c r="Q907" s="60" t="str">
        <f>IF($D907="","",IF($K907&lt;&gt;"Balance Sheet / Clearing","-",IF(SUMPRODUCT(--(LEFT('7. Settlements'!$J$8:$J$107,7)=$A907),--('7. Settlements'!$M$8:$M$107="Tied out"))+SUMPRODUCT(--(LEFT('8. Transfers'!$H$9:$H$108,7)=$A907),--('8. Transfers'!$J$9:$J$108="Matched"))+SUMPRODUCT(--(LEFT('8. Transfers'!$I$9:$I$108,7)=$A907),--('8. Transfers'!$J$9:$J$108="Matched"))+IF($O907="",0,COUNTIFS('9. Payroll Allocation'!$B$234:$B$253,$O907,'9. Payroll Allocation'!$H$234:$H$253,"Tied out"))&gt;0,"Linked","MISSING DETAIL")))</f>
        <v/>
      </c>
      <c r="T907" s="58" t="str">
        <f t="shared" si="133"/>
        <v/>
      </c>
      <c r="U907" s="59" t="str">
        <f>IF($T907="","",COUNTIF($T$6:$T907,"?*"))</f>
        <v/>
      </c>
      <c r="V907" s="58" t="str">
        <f t="shared" si="134"/>
        <v/>
      </c>
    </row>
    <row r="908" spans="1:22" ht="12.95" customHeight="1" x14ac:dyDescent="0.25">
      <c r="A908" s="52" t="str">
        <f t="shared" si="126"/>
        <v/>
      </c>
      <c r="B908" s="37"/>
      <c r="C908" s="28"/>
      <c r="D908" s="35"/>
      <c r="E908" s="38"/>
      <c r="F908" s="38"/>
      <c r="G908" s="52" t="str">
        <f t="shared" si="127"/>
        <v/>
      </c>
      <c r="H908" s="53" t="str">
        <f t="shared" si="128"/>
        <v/>
      </c>
      <c r="I908" s="40"/>
      <c r="J908" s="54" t="str">
        <f t="shared" si="129"/>
        <v/>
      </c>
      <c r="K908" s="41" t="str">
        <f t="shared" si="130"/>
        <v/>
      </c>
      <c r="L908" s="55"/>
      <c r="M908" s="56">
        <f t="shared" si="131"/>
        <v>0</v>
      </c>
      <c r="N908" s="56">
        <f t="shared" si="132"/>
        <v>0</v>
      </c>
      <c r="O908" s="57"/>
      <c r="P908" s="40"/>
      <c r="Q908" s="52" t="str">
        <f>IF($D908="","",IF($K908&lt;&gt;"Balance Sheet / Clearing","-",IF(SUMPRODUCT(--(LEFT('7. Settlements'!$J$8:$J$107,7)=$A908),--('7. Settlements'!$M$8:$M$107="Tied out"))+SUMPRODUCT(--(LEFT('8. Transfers'!$H$9:$H$108,7)=$A908),--('8. Transfers'!$J$9:$J$108="Matched"))+SUMPRODUCT(--(LEFT('8. Transfers'!$I$9:$I$108,7)=$A908),--('8. Transfers'!$J$9:$J$108="Matched"))+IF($O908="",0,COUNTIFS('9. Payroll Allocation'!$B$234:$B$253,$O908,'9. Payroll Allocation'!$H$234:$H$253,"Tied out"))&gt;0,"Linked","MISSING DETAIL")))</f>
        <v/>
      </c>
      <c r="T908" s="58" t="str">
        <f t="shared" si="133"/>
        <v/>
      </c>
      <c r="U908" s="59" t="str">
        <f>IF($T908="","",COUNTIF($T$6:$T908,"?*"))</f>
        <v/>
      </c>
      <c r="V908" s="58" t="str">
        <f t="shared" si="134"/>
        <v/>
      </c>
    </row>
    <row r="909" spans="1:22" ht="12.95" customHeight="1" x14ac:dyDescent="0.25">
      <c r="A909" s="60" t="str">
        <f t="shared" si="126"/>
        <v/>
      </c>
      <c r="B909" s="37"/>
      <c r="C909" s="28"/>
      <c r="D909" s="35"/>
      <c r="E909" s="38"/>
      <c r="F909" s="38"/>
      <c r="G909" s="60" t="str">
        <f t="shared" si="127"/>
        <v/>
      </c>
      <c r="H909" s="61" t="str">
        <f t="shared" si="128"/>
        <v/>
      </c>
      <c r="I909" s="40"/>
      <c r="J909" s="62" t="str">
        <f t="shared" si="129"/>
        <v/>
      </c>
      <c r="K909" s="45" t="str">
        <f t="shared" si="130"/>
        <v/>
      </c>
      <c r="L909" s="55"/>
      <c r="M909" s="63">
        <f t="shared" si="131"/>
        <v>0</v>
      </c>
      <c r="N909" s="63">
        <f t="shared" si="132"/>
        <v>0</v>
      </c>
      <c r="O909" s="57"/>
      <c r="P909" s="40"/>
      <c r="Q909" s="60" t="str">
        <f>IF($D909="","",IF($K909&lt;&gt;"Balance Sheet / Clearing","-",IF(SUMPRODUCT(--(LEFT('7. Settlements'!$J$8:$J$107,7)=$A909),--('7. Settlements'!$M$8:$M$107="Tied out"))+SUMPRODUCT(--(LEFT('8. Transfers'!$H$9:$H$108,7)=$A909),--('8. Transfers'!$J$9:$J$108="Matched"))+SUMPRODUCT(--(LEFT('8. Transfers'!$I$9:$I$108,7)=$A909),--('8. Transfers'!$J$9:$J$108="Matched"))+IF($O909="",0,COUNTIFS('9. Payroll Allocation'!$B$234:$B$253,$O909,'9. Payroll Allocation'!$H$234:$H$253,"Tied out"))&gt;0,"Linked","MISSING DETAIL")))</f>
        <v/>
      </c>
      <c r="T909" s="58" t="str">
        <f t="shared" si="133"/>
        <v/>
      </c>
      <c r="U909" s="59" t="str">
        <f>IF($T909="","",COUNTIF($T$6:$T909,"?*"))</f>
        <v/>
      </c>
      <c r="V909" s="58" t="str">
        <f t="shared" si="134"/>
        <v/>
      </c>
    </row>
    <row r="910" spans="1:22" ht="12.95" customHeight="1" x14ac:dyDescent="0.25">
      <c r="A910" s="52" t="str">
        <f t="shared" si="126"/>
        <v/>
      </c>
      <c r="B910" s="37"/>
      <c r="C910" s="28"/>
      <c r="D910" s="35"/>
      <c r="E910" s="38"/>
      <c r="F910" s="38"/>
      <c r="G910" s="52" t="str">
        <f t="shared" si="127"/>
        <v/>
      </c>
      <c r="H910" s="53" t="str">
        <f t="shared" si="128"/>
        <v/>
      </c>
      <c r="I910" s="40"/>
      <c r="J910" s="54" t="str">
        <f t="shared" si="129"/>
        <v/>
      </c>
      <c r="K910" s="41" t="str">
        <f t="shared" si="130"/>
        <v/>
      </c>
      <c r="L910" s="55"/>
      <c r="M910" s="56">
        <f t="shared" si="131"/>
        <v>0</v>
      </c>
      <c r="N910" s="56">
        <f t="shared" si="132"/>
        <v>0</v>
      </c>
      <c r="O910" s="57"/>
      <c r="P910" s="40"/>
      <c r="Q910" s="52" t="str">
        <f>IF($D910="","",IF($K910&lt;&gt;"Balance Sheet / Clearing","-",IF(SUMPRODUCT(--(LEFT('7. Settlements'!$J$8:$J$107,7)=$A910),--('7. Settlements'!$M$8:$M$107="Tied out"))+SUMPRODUCT(--(LEFT('8. Transfers'!$H$9:$H$108,7)=$A910),--('8. Transfers'!$J$9:$J$108="Matched"))+SUMPRODUCT(--(LEFT('8. Transfers'!$I$9:$I$108,7)=$A910),--('8. Transfers'!$J$9:$J$108="Matched"))+IF($O910="",0,COUNTIFS('9. Payroll Allocation'!$B$234:$B$253,$O910,'9. Payroll Allocation'!$H$234:$H$253,"Tied out"))&gt;0,"Linked","MISSING DETAIL")))</f>
        <v/>
      </c>
      <c r="T910" s="58" t="str">
        <f t="shared" si="133"/>
        <v/>
      </c>
      <c r="U910" s="59" t="str">
        <f>IF($T910="","",COUNTIF($T$6:$T910,"?*"))</f>
        <v/>
      </c>
      <c r="V910" s="58" t="str">
        <f t="shared" si="134"/>
        <v/>
      </c>
    </row>
    <row r="911" spans="1:22" ht="12.95" customHeight="1" x14ac:dyDescent="0.25">
      <c r="A911" s="60" t="str">
        <f t="shared" si="126"/>
        <v/>
      </c>
      <c r="B911" s="37"/>
      <c r="C911" s="28"/>
      <c r="D911" s="35"/>
      <c r="E911" s="38"/>
      <c r="F911" s="38"/>
      <c r="G911" s="60" t="str">
        <f t="shared" si="127"/>
        <v/>
      </c>
      <c r="H911" s="61" t="str">
        <f t="shared" si="128"/>
        <v/>
      </c>
      <c r="I911" s="40"/>
      <c r="J911" s="62" t="str">
        <f t="shared" si="129"/>
        <v/>
      </c>
      <c r="K911" s="45" t="str">
        <f t="shared" si="130"/>
        <v/>
      </c>
      <c r="L911" s="55"/>
      <c r="M911" s="63">
        <f t="shared" si="131"/>
        <v>0</v>
      </c>
      <c r="N911" s="63">
        <f t="shared" si="132"/>
        <v>0</v>
      </c>
      <c r="O911" s="57"/>
      <c r="P911" s="40"/>
      <c r="Q911" s="60" t="str">
        <f>IF($D911="","",IF($K911&lt;&gt;"Balance Sheet / Clearing","-",IF(SUMPRODUCT(--(LEFT('7. Settlements'!$J$8:$J$107,7)=$A911),--('7. Settlements'!$M$8:$M$107="Tied out"))+SUMPRODUCT(--(LEFT('8. Transfers'!$H$9:$H$108,7)=$A911),--('8. Transfers'!$J$9:$J$108="Matched"))+SUMPRODUCT(--(LEFT('8. Transfers'!$I$9:$I$108,7)=$A911),--('8. Transfers'!$J$9:$J$108="Matched"))+IF($O911="",0,COUNTIFS('9. Payroll Allocation'!$B$234:$B$253,$O911,'9. Payroll Allocation'!$H$234:$H$253,"Tied out"))&gt;0,"Linked","MISSING DETAIL")))</f>
        <v/>
      </c>
      <c r="T911" s="58" t="str">
        <f t="shared" si="133"/>
        <v/>
      </c>
      <c r="U911" s="59" t="str">
        <f>IF($T911="","",COUNTIF($T$6:$T911,"?*"))</f>
        <v/>
      </c>
      <c r="V911" s="58" t="str">
        <f t="shared" si="134"/>
        <v/>
      </c>
    </row>
    <row r="912" spans="1:22" ht="12.95" customHeight="1" x14ac:dyDescent="0.25">
      <c r="A912" s="52" t="str">
        <f t="shared" si="126"/>
        <v/>
      </c>
      <c r="B912" s="37"/>
      <c r="C912" s="28"/>
      <c r="D912" s="35"/>
      <c r="E912" s="38"/>
      <c r="F912" s="38"/>
      <c r="G912" s="52" t="str">
        <f t="shared" si="127"/>
        <v/>
      </c>
      <c r="H912" s="53" t="str">
        <f t="shared" si="128"/>
        <v/>
      </c>
      <c r="I912" s="40"/>
      <c r="J912" s="54" t="str">
        <f t="shared" si="129"/>
        <v/>
      </c>
      <c r="K912" s="41" t="str">
        <f t="shared" si="130"/>
        <v/>
      </c>
      <c r="L912" s="55"/>
      <c r="M912" s="56">
        <f t="shared" si="131"/>
        <v>0</v>
      </c>
      <c r="N912" s="56">
        <f t="shared" si="132"/>
        <v>0</v>
      </c>
      <c r="O912" s="57"/>
      <c r="P912" s="40"/>
      <c r="Q912" s="52" t="str">
        <f>IF($D912="","",IF($K912&lt;&gt;"Balance Sheet / Clearing","-",IF(SUMPRODUCT(--(LEFT('7. Settlements'!$J$8:$J$107,7)=$A912),--('7. Settlements'!$M$8:$M$107="Tied out"))+SUMPRODUCT(--(LEFT('8. Transfers'!$H$9:$H$108,7)=$A912),--('8. Transfers'!$J$9:$J$108="Matched"))+SUMPRODUCT(--(LEFT('8. Transfers'!$I$9:$I$108,7)=$A912),--('8. Transfers'!$J$9:$J$108="Matched"))+IF($O912="",0,COUNTIFS('9. Payroll Allocation'!$B$234:$B$253,$O912,'9. Payroll Allocation'!$H$234:$H$253,"Tied out"))&gt;0,"Linked","MISSING DETAIL")))</f>
        <v/>
      </c>
      <c r="T912" s="58" t="str">
        <f t="shared" si="133"/>
        <v/>
      </c>
      <c r="U912" s="59" t="str">
        <f>IF($T912="","",COUNTIF($T$6:$T912,"?*"))</f>
        <v/>
      </c>
      <c r="V912" s="58" t="str">
        <f t="shared" si="134"/>
        <v/>
      </c>
    </row>
    <row r="913" spans="1:22" ht="12.95" customHeight="1" x14ac:dyDescent="0.25">
      <c r="A913" s="60" t="str">
        <f t="shared" si="126"/>
        <v/>
      </c>
      <c r="B913" s="37"/>
      <c r="C913" s="28"/>
      <c r="D913" s="35"/>
      <c r="E913" s="38"/>
      <c r="F913" s="38"/>
      <c r="G913" s="60" t="str">
        <f t="shared" si="127"/>
        <v/>
      </c>
      <c r="H913" s="61" t="str">
        <f t="shared" si="128"/>
        <v/>
      </c>
      <c r="I913" s="40"/>
      <c r="J913" s="62" t="str">
        <f t="shared" si="129"/>
        <v/>
      </c>
      <c r="K913" s="45" t="str">
        <f t="shared" si="130"/>
        <v/>
      </c>
      <c r="L913" s="55"/>
      <c r="M913" s="63">
        <f t="shared" si="131"/>
        <v>0</v>
      </c>
      <c r="N913" s="63">
        <f t="shared" si="132"/>
        <v>0</v>
      </c>
      <c r="O913" s="57"/>
      <c r="P913" s="40"/>
      <c r="Q913" s="60" t="str">
        <f>IF($D913="","",IF($K913&lt;&gt;"Balance Sheet / Clearing","-",IF(SUMPRODUCT(--(LEFT('7. Settlements'!$J$8:$J$107,7)=$A913),--('7. Settlements'!$M$8:$M$107="Tied out"))+SUMPRODUCT(--(LEFT('8. Transfers'!$H$9:$H$108,7)=$A913),--('8. Transfers'!$J$9:$J$108="Matched"))+SUMPRODUCT(--(LEFT('8. Transfers'!$I$9:$I$108,7)=$A913),--('8. Transfers'!$J$9:$J$108="Matched"))+IF($O913="",0,COUNTIFS('9. Payroll Allocation'!$B$234:$B$253,$O913,'9. Payroll Allocation'!$H$234:$H$253,"Tied out"))&gt;0,"Linked","MISSING DETAIL")))</f>
        <v/>
      </c>
      <c r="T913" s="58" t="str">
        <f t="shared" si="133"/>
        <v/>
      </c>
      <c r="U913" s="59" t="str">
        <f>IF($T913="","",COUNTIF($T$6:$T913,"?*"))</f>
        <v/>
      </c>
      <c r="V913" s="58" t="str">
        <f t="shared" si="134"/>
        <v/>
      </c>
    </row>
    <row r="914" spans="1:22" ht="12.95" customHeight="1" x14ac:dyDescent="0.25">
      <c r="A914" s="52" t="str">
        <f t="shared" si="126"/>
        <v/>
      </c>
      <c r="B914" s="37"/>
      <c r="C914" s="28"/>
      <c r="D914" s="35"/>
      <c r="E914" s="38"/>
      <c r="F914" s="38"/>
      <c r="G914" s="52" t="str">
        <f t="shared" si="127"/>
        <v/>
      </c>
      <c r="H914" s="53" t="str">
        <f t="shared" si="128"/>
        <v/>
      </c>
      <c r="I914" s="40"/>
      <c r="J914" s="54" t="str">
        <f t="shared" si="129"/>
        <v/>
      </c>
      <c r="K914" s="41" t="str">
        <f t="shared" si="130"/>
        <v/>
      </c>
      <c r="L914" s="55"/>
      <c r="M914" s="56">
        <f t="shared" si="131"/>
        <v>0</v>
      </c>
      <c r="N914" s="56">
        <f t="shared" si="132"/>
        <v>0</v>
      </c>
      <c r="O914" s="57"/>
      <c r="P914" s="40"/>
      <c r="Q914" s="52" t="str">
        <f>IF($D914="","",IF($K914&lt;&gt;"Balance Sheet / Clearing","-",IF(SUMPRODUCT(--(LEFT('7. Settlements'!$J$8:$J$107,7)=$A914),--('7. Settlements'!$M$8:$M$107="Tied out"))+SUMPRODUCT(--(LEFT('8. Transfers'!$H$9:$H$108,7)=$A914),--('8. Transfers'!$J$9:$J$108="Matched"))+SUMPRODUCT(--(LEFT('8. Transfers'!$I$9:$I$108,7)=$A914),--('8. Transfers'!$J$9:$J$108="Matched"))+IF($O914="",0,COUNTIFS('9. Payroll Allocation'!$B$234:$B$253,$O914,'9. Payroll Allocation'!$H$234:$H$253,"Tied out"))&gt;0,"Linked","MISSING DETAIL")))</f>
        <v/>
      </c>
      <c r="T914" s="58" t="str">
        <f t="shared" si="133"/>
        <v/>
      </c>
      <c r="U914" s="59" t="str">
        <f>IF($T914="","",COUNTIF($T$6:$T914,"?*"))</f>
        <v/>
      </c>
      <c r="V914" s="58" t="str">
        <f t="shared" si="134"/>
        <v/>
      </c>
    </row>
    <row r="915" spans="1:22" ht="12.95" customHeight="1" x14ac:dyDescent="0.25">
      <c r="A915" s="60" t="str">
        <f t="shared" si="126"/>
        <v/>
      </c>
      <c r="B915" s="37"/>
      <c r="C915" s="28"/>
      <c r="D915" s="35"/>
      <c r="E915" s="38"/>
      <c r="F915" s="38"/>
      <c r="G915" s="60" t="str">
        <f t="shared" si="127"/>
        <v/>
      </c>
      <c r="H915" s="61" t="str">
        <f t="shared" si="128"/>
        <v/>
      </c>
      <c r="I915" s="40"/>
      <c r="J915" s="62" t="str">
        <f t="shared" si="129"/>
        <v/>
      </c>
      <c r="K915" s="45" t="str">
        <f t="shared" si="130"/>
        <v/>
      </c>
      <c r="L915" s="55"/>
      <c r="M915" s="63">
        <f t="shared" si="131"/>
        <v>0</v>
      </c>
      <c r="N915" s="63">
        <f t="shared" si="132"/>
        <v>0</v>
      </c>
      <c r="O915" s="57"/>
      <c r="P915" s="40"/>
      <c r="Q915" s="60" t="str">
        <f>IF($D915="","",IF($K915&lt;&gt;"Balance Sheet / Clearing","-",IF(SUMPRODUCT(--(LEFT('7. Settlements'!$J$8:$J$107,7)=$A915),--('7. Settlements'!$M$8:$M$107="Tied out"))+SUMPRODUCT(--(LEFT('8. Transfers'!$H$9:$H$108,7)=$A915),--('8. Transfers'!$J$9:$J$108="Matched"))+SUMPRODUCT(--(LEFT('8. Transfers'!$I$9:$I$108,7)=$A915),--('8. Transfers'!$J$9:$J$108="Matched"))+IF($O915="",0,COUNTIFS('9. Payroll Allocation'!$B$234:$B$253,$O915,'9. Payroll Allocation'!$H$234:$H$253,"Tied out"))&gt;0,"Linked","MISSING DETAIL")))</f>
        <v/>
      </c>
      <c r="T915" s="58" t="str">
        <f t="shared" si="133"/>
        <v/>
      </c>
      <c r="U915" s="59" t="str">
        <f>IF($T915="","",COUNTIF($T$6:$T915,"?*"))</f>
        <v/>
      </c>
      <c r="V915" s="58" t="str">
        <f t="shared" si="134"/>
        <v/>
      </c>
    </row>
    <row r="916" spans="1:22" ht="12.95" customHeight="1" x14ac:dyDescent="0.25">
      <c r="A916" s="52" t="str">
        <f t="shared" si="126"/>
        <v/>
      </c>
      <c r="B916" s="37"/>
      <c r="C916" s="28"/>
      <c r="D916" s="35"/>
      <c r="E916" s="38"/>
      <c r="F916" s="38"/>
      <c r="G916" s="52" t="str">
        <f t="shared" si="127"/>
        <v/>
      </c>
      <c r="H916" s="53" t="str">
        <f t="shared" si="128"/>
        <v/>
      </c>
      <c r="I916" s="40"/>
      <c r="J916" s="54" t="str">
        <f t="shared" si="129"/>
        <v/>
      </c>
      <c r="K916" s="41" t="str">
        <f t="shared" si="130"/>
        <v/>
      </c>
      <c r="L916" s="55"/>
      <c r="M916" s="56">
        <f t="shared" si="131"/>
        <v>0</v>
      </c>
      <c r="N916" s="56">
        <f t="shared" si="132"/>
        <v>0</v>
      </c>
      <c r="O916" s="57"/>
      <c r="P916" s="40"/>
      <c r="Q916" s="52" t="str">
        <f>IF($D916="","",IF($K916&lt;&gt;"Balance Sheet / Clearing","-",IF(SUMPRODUCT(--(LEFT('7. Settlements'!$J$8:$J$107,7)=$A916),--('7. Settlements'!$M$8:$M$107="Tied out"))+SUMPRODUCT(--(LEFT('8. Transfers'!$H$9:$H$108,7)=$A916),--('8. Transfers'!$J$9:$J$108="Matched"))+SUMPRODUCT(--(LEFT('8. Transfers'!$I$9:$I$108,7)=$A916),--('8. Transfers'!$J$9:$J$108="Matched"))+IF($O916="",0,COUNTIFS('9. Payroll Allocation'!$B$234:$B$253,$O916,'9. Payroll Allocation'!$H$234:$H$253,"Tied out"))&gt;0,"Linked","MISSING DETAIL")))</f>
        <v/>
      </c>
      <c r="T916" s="58" t="str">
        <f t="shared" si="133"/>
        <v/>
      </c>
      <c r="U916" s="59" t="str">
        <f>IF($T916="","",COUNTIF($T$6:$T916,"?*"))</f>
        <v/>
      </c>
      <c r="V916" s="58" t="str">
        <f t="shared" si="134"/>
        <v/>
      </c>
    </row>
    <row r="917" spans="1:22" ht="12.95" customHeight="1" x14ac:dyDescent="0.25">
      <c r="A917" s="60" t="str">
        <f t="shared" si="126"/>
        <v/>
      </c>
      <c r="B917" s="37"/>
      <c r="C917" s="28"/>
      <c r="D917" s="35"/>
      <c r="E917" s="38"/>
      <c r="F917" s="38"/>
      <c r="G917" s="60" t="str">
        <f t="shared" si="127"/>
        <v/>
      </c>
      <c r="H917" s="61" t="str">
        <f t="shared" si="128"/>
        <v/>
      </c>
      <c r="I917" s="40"/>
      <c r="J917" s="62" t="str">
        <f t="shared" si="129"/>
        <v/>
      </c>
      <c r="K917" s="45" t="str">
        <f t="shared" si="130"/>
        <v/>
      </c>
      <c r="L917" s="55"/>
      <c r="M917" s="63">
        <f t="shared" si="131"/>
        <v>0</v>
      </c>
      <c r="N917" s="63">
        <f t="shared" si="132"/>
        <v>0</v>
      </c>
      <c r="O917" s="57"/>
      <c r="P917" s="40"/>
      <c r="Q917" s="60" t="str">
        <f>IF($D917="","",IF($K917&lt;&gt;"Balance Sheet / Clearing","-",IF(SUMPRODUCT(--(LEFT('7. Settlements'!$J$8:$J$107,7)=$A917),--('7. Settlements'!$M$8:$M$107="Tied out"))+SUMPRODUCT(--(LEFT('8. Transfers'!$H$9:$H$108,7)=$A917),--('8. Transfers'!$J$9:$J$108="Matched"))+SUMPRODUCT(--(LEFT('8. Transfers'!$I$9:$I$108,7)=$A917),--('8. Transfers'!$J$9:$J$108="Matched"))+IF($O917="",0,COUNTIFS('9. Payroll Allocation'!$B$234:$B$253,$O917,'9. Payroll Allocation'!$H$234:$H$253,"Tied out"))&gt;0,"Linked","MISSING DETAIL")))</f>
        <v/>
      </c>
      <c r="T917" s="58" t="str">
        <f t="shared" si="133"/>
        <v/>
      </c>
      <c r="U917" s="59" t="str">
        <f>IF($T917="","",COUNTIF($T$6:$T917,"?*"))</f>
        <v/>
      </c>
      <c r="V917" s="58" t="str">
        <f t="shared" si="134"/>
        <v/>
      </c>
    </row>
    <row r="918" spans="1:22" ht="12.95" customHeight="1" x14ac:dyDescent="0.25">
      <c r="A918" s="52" t="str">
        <f t="shared" si="126"/>
        <v/>
      </c>
      <c r="B918" s="37"/>
      <c r="C918" s="28"/>
      <c r="D918" s="35"/>
      <c r="E918" s="38"/>
      <c r="F918" s="38"/>
      <c r="G918" s="52" t="str">
        <f t="shared" si="127"/>
        <v/>
      </c>
      <c r="H918" s="53" t="str">
        <f t="shared" si="128"/>
        <v/>
      </c>
      <c r="I918" s="40"/>
      <c r="J918" s="54" t="str">
        <f t="shared" si="129"/>
        <v/>
      </c>
      <c r="K918" s="41" t="str">
        <f t="shared" si="130"/>
        <v/>
      </c>
      <c r="L918" s="55"/>
      <c r="M918" s="56">
        <f t="shared" si="131"/>
        <v>0</v>
      </c>
      <c r="N918" s="56">
        <f t="shared" si="132"/>
        <v>0</v>
      </c>
      <c r="O918" s="57"/>
      <c r="P918" s="40"/>
      <c r="Q918" s="52" t="str">
        <f>IF($D918="","",IF($K918&lt;&gt;"Balance Sheet / Clearing","-",IF(SUMPRODUCT(--(LEFT('7. Settlements'!$J$8:$J$107,7)=$A918),--('7. Settlements'!$M$8:$M$107="Tied out"))+SUMPRODUCT(--(LEFT('8. Transfers'!$H$9:$H$108,7)=$A918),--('8. Transfers'!$J$9:$J$108="Matched"))+SUMPRODUCT(--(LEFT('8. Transfers'!$I$9:$I$108,7)=$A918),--('8. Transfers'!$J$9:$J$108="Matched"))+IF($O918="",0,COUNTIFS('9. Payroll Allocation'!$B$234:$B$253,$O918,'9. Payroll Allocation'!$H$234:$H$253,"Tied out"))&gt;0,"Linked","MISSING DETAIL")))</f>
        <v/>
      </c>
      <c r="T918" s="58" t="str">
        <f t="shared" si="133"/>
        <v/>
      </c>
      <c r="U918" s="59" t="str">
        <f>IF($T918="","",COUNTIF($T$6:$T918,"?*"))</f>
        <v/>
      </c>
      <c r="V918" s="58" t="str">
        <f t="shared" si="134"/>
        <v/>
      </c>
    </row>
    <row r="919" spans="1:22" ht="12.95" customHeight="1" x14ac:dyDescent="0.25">
      <c r="A919" s="60" t="str">
        <f t="shared" si="126"/>
        <v/>
      </c>
      <c r="B919" s="37"/>
      <c r="C919" s="28"/>
      <c r="D919" s="35"/>
      <c r="E919" s="38"/>
      <c r="F919" s="38"/>
      <c r="G919" s="60" t="str">
        <f t="shared" si="127"/>
        <v/>
      </c>
      <c r="H919" s="61" t="str">
        <f t="shared" si="128"/>
        <v/>
      </c>
      <c r="I919" s="40"/>
      <c r="J919" s="62" t="str">
        <f t="shared" si="129"/>
        <v/>
      </c>
      <c r="K919" s="45" t="str">
        <f t="shared" si="130"/>
        <v/>
      </c>
      <c r="L919" s="55"/>
      <c r="M919" s="63">
        <f t="shared" si="131"/>
        <v>0</v>
      </c>
      <c r="N919" s="63">
        <f t="shared" si="132"/>
        <v>0</v>
      </c>
      <c r="O919" s="57"/>
      <c r="P919" s="40"/>
      <c r="Q919" s="60" t="str">
        <f>IF($D919="","",IF($K919&lt;&gt;"Balance Sheet / Clearing","-",IF(SUMPRODUCT(--(LEFT('7. Settlements'!$J$8:$J$107,7)=$A919),--('7. Settlements'!$M$8:$M$107="Tied out"))+SUMPRODUCT(--(LEFT('8. Transfers'!$H$9:$H$108,7)=$A919),--('8. Transfers'!$J$9:$J$108="Matched"))+SUMPRODUCT(--(LEFT('8. Transfers'!$I$9:$I$108,7)=$A919),--('8. Transfers'!$J$9:$J$108="Matched"))+IF($O919="",0,COUNTIFS('9. Payroll Allocation'!$B$234:$B$253,$O919,'9. Payroll Allocation'!$H$234:$H$253,"Tied out"))&gt;0,"Linked","MISSING DETAIL")))</f>
        <v/>
      </c>
      <c r="T919" s="58" t="str">
        <f t="shared" si="133"/>
        <v/>
      </c>
      <c r="U919" s="59" t="str">
        <f>IF($T919="","",COUNTIF($T$6:$T919,"?*"))</f>
        <v/>
      </c>
      <c r="V919" s="58" t="str">
        <f t="shared" si="134"/>
        <v/>
      </c>
    </row>
    <row r="920" spans="1:22" ht="12.95" customHeight="1" x14ac:dyDescent="0.25">
      <c r="A920" s="52" t="str">
        <f t="shared" si="126"/>
        <v/>
      </c>
      <c r="B920" s="37"/>
      <c r="C920" s="28"/>
      <c r="D920" s="35"/>
      <c r="E920" s="38"/>
      <c r="F920" s="38"/>
      <c r="G920" s="52" t="str">
        <f t="shared" si="127"/>
        <v/>
      </c>
      <c r="H920" s="53" t="str">
        <f t="shared" si="128"/>
        <v/>
      </c>
      <c r="I920" s="40"/>
      <c r="J920" s="54" t="str">
        <f t="shared" si="129"/>
        <v/>
      </c>
      <c r="K920" s="41" t="str">
        <f t="shared" si="130"/>
        <v/>
      </c>
      <c r="L920" s="55"/>
      <c r="M920" s="56">
        <f t="shared" si="131"/>
        <v>0</v>
      </c>
      <c r="N920" s="56">
        <f t="shared" si="132"/>
        <v>0</v>
      </c>
      <c r="O920" s="57"/>
      <c r="P920" s="40"/>
      <c r="Q920" s="52" t="str">
        <f>IF($D920="","",IF($K920&lt;&gt;"Balance Sheet / Clearing","-",IF(SUMPRODUCT(--(LEFT('7. Settlements'!$J$8:$J$107,7)=$A920),--('7. Settlements'!$M$8:$M$107="Tied out"))+SUMPRODUCT(--(LEFT('8. Transfers'!$H$9:$H$108,7)=$A920),--('8. Transfers'!$J$9:$J$108="Matched"))+SUMPRODUCT(--(LEFT('8. Transfers'!$I$9:$I$108,7)=$A920),--('8. Transfers'!$J$9:$J$108="Matched"))+IF($O920="",0,COUNTIFS('9. Payroll Allocation'!$B$234:$B$253,$O920,'9. Payroll Allocation'!$H$234:$H$253,"Tied out"))&gt;0,"Linked","MISSING DETAIL")))</f>
        <v/>
      </c>
      <c r="T920" s="58" t="str">
        <f t="shared" si="133"/>
        <v/>
      </c>
      <c r="U920" s="59" t="str">
        <f>IF($T920="","",COUNTIF($T$6:$T920,"?*"))</f>
        <v/>
      </c>
      <c r="V920" s="58" t="str">
        <f t="shared" si="134"/>
        <v/>
      </c>
    </row>
    <row r="921" spans="1:22" ht="12.95" customHeight="1" x14ac:dyDescent="0.25">
      <c r="A921" s="60" t="str">
        <f t="shared" si="126"/>
        <v/>
      </c>
      <c r="B921" s="37"/>
      <c r="C921" s="28"/>
      <c r="D921" s="35"/>
      <c r="E921" s="38"/>
      <c r="F921" s="38"/>
      <c r="G921" s="60" t="str">
        <f t="shared" si="127"/>
        <v/>
      </c>
      <c r="H921" s="61" t="str">
        <f t="shared" si="128"/>
        <v/>
      </c>
      <c r="I921" s="40"/>
      <c r="J921" s="62" t="str">
        <f t="shared" si="129"/>
        <v/>
      </c>
      <c r="K921" s="45" t="str">
        <f t="shared" si="130"/>
        <v/>
      </c>
      <c r="L921" s="55"/>
      <c r="M921" s="63">
        <f t="shared" si="131"/>
        <v>0</v>
      </c>
      <c r="N921" s="63">
        <f t="shared" si="132"/>
        <v>0</v>
      </c>
      <c r="O921" s="57"/>
      <c r="P921" s="40"/>
      <c r="Q921" s="60" t="str">
        <f>IF($D921="","",IF($K921&lt;&gt;"Balance Sheet / Clearing","-",IF(SUMPRODUCT(--(LEFT('7. Settlements'!$J$8:$J$107,7)=$A921),--('7. Settlements'!$M$8:$M$107="Tied out"))+SUMPRODUCT(--(LEFT('8. Transfers'!$H$9:$H$108,7)=$A921),--('8. Transfers'!$J$9:$J$108="Matched"))+SUMPRODUCT(--(LEFT('8. Transfers'!$I$9:$I$108,7)=$A921),--('8. Transfers'!$J$9:$J$108="Matched"))+IF($O921="",0,COUNTIFS('9. Payroll Allocation'!$B$234:$B$253,$O921,'9. Payroll Allocation'!$H$234:$H$253,"Tied out"))&gt;0,"Linked","MISSING DETAIL")))</f>
        <v/>
      </c>
      <c r="T921" s="58" t="str">
        <f t="shared" si="133"/>
        <v/>
      </c>
      <c r="U921" s="59" t="str">
        <f>IF($T921="","",COUNTIF($T$6:$T921,"?*"))</f>
        <v/>
      </c>
      <c r="V921" s="58" t="str">
        <f t="shared" si="134"/>
        <v/>
      </c>
    </row>
    <row r="922" spans="1:22" ht="12.95" customHeight="1" x14ac:dyDescent="0.25">
      <c r="A922" s="52" t="str">
        <f t="shared" si="126"/>
        <v/>
      </c>
      <c r="B922" s="37"/>
      <c r="C922" s="28"/>
      <c r="D922" s="35"/>
      <c r="E922" s="38"/>
      <c r="F922" s="38"/>
      <c r="G922" s="52" t="str">
        <f t="shared" si="127"/>
        <v/>
      </c>
      <c r="H922" s="53" t="str">
        <f t="shared" si="128"/>
        <v/>
      </c>
      <c r="I922" s="40"/>
      <c r="J922" s="54" t="str">
        <f t="shared" si="129"/>
        <v/>
      </c>
      <c r="K922" s="41" t="str">
        <f t="shared" si="130"/>
        <v/>
      </c>
      <c r="L922" s="55"/>
      <c r="M922" s="56">
        <f t="shared" si="131"/>
        <v>0</v>
      </c>
      <c r="N922" s="56">
        <f t="shared" si="132"/>
        <v>0</v>
      </c>
      <c r="O922" s="57"/>
      <c r="P922" s="40"/>
      <c r="Q922" s="52" t="str">
        <f>IF($D922="","",IF($K922&lt;&gt;"Balance Sheet / Clearing","-",IF(SUMPRODUCT(--(LEFT('7. Settlements'!$J$8:$J$107,7)=$A922),--('7. Settlements'!$M$8:$M$107="Tied out"))+SUMPRODUCT(--(LEFT('8. Transfers'!$H$9:$H$108,7)=$A922),--('8. Transfers'!$J$9:$J$108="Matched"))+SUMPRODUCT(--(LEFT('8. Transfers'!$I$9:$I$108,7)=$A922),--('8. Transfers'!$J$9:$J$108="Matched"))+IF($O922="",0,COUNTIFS('9. Payroll Allocation'!$B$234:$B$253,$O922,'9. Payroll Allocation'!$H$234:$H$253,"Tied out"))&gt;0,"Linked","MISSING DETAIL")))</f>
        <v/>
      </c>
      <c r="T922" s="58" t="str">
        <f t="shared" si="133"/>
        <v/>
      </c>
      <c r="U922" s="59" t="str">
        <f>IF($T922="","",COUNTIF($T$6:$T922,"?*"))</f>
        <v/>
      </c>
      <c r="V922" s="58" t="str">
        <f t="shared" si="134"/>
        <v/>
      </c>
    </row>
    <row r="923" spans="1:22" ht="12.95" customHeight="1" x14ac:dyDescent="0.25">
      <c r="A923" s="60" t="str">
        <f t="shared" si="126"/>
        <v/>
      </c>
      <c r="B923" s="37"/>
      <c r="C923" s="28"/>
      <c r="D923" s="35"/>
      <c r="E923" s="38"/>
      <c r="F923" s="38"/>
      <c r="G923" s="60" t="str">
        <f t="shared" si="127"/>
        <v/>
      </c>
      <c r="H923" s="61" t="str">
        <f t="shared" si="128"/>
        <v/>
      </c>
      <c r="I923" s="40"/>
      <c r="J923" s="62" t="str">
        <f t="shared" si="129"/>
        <v/>
      </c>
      <c r="K923" s="45" t="str">
        <f t="shared" si="130"/>
        <v/>
      </c>
      <c r="L923" s="55"/>
      <c r="M923" s="63">
        <f t="shared" si="131"/>
        <v>0</v>
      </c>
      <c r="N923" s="63">
        <f t="shared" si="132"/>
        <v>0</v>
      </c>
      <c r="O923" s="57"/>
      <c r="P923" s="40"/>
      <c r="Q923" s="60" t="str">
        <f>IF($D923="","",IF($K923&lt;&gt;"Balance Sheet / Clearing","-",IF(SUMPRODUCT(--(LEFT('7. Settlements'!$J$8:$J$107,7)=$A923),--('7. Settlements'!$M$8:$M$107="Tied out"))+SUMPRODUCT(--(LEFT('8. Transfers'!$H$9:$H$108,7)=$A923),--('8. Transfers'!$J$9:$J$108="Matched"))+SUMPRODUCT(--(LEFT('8. Transfers'!$I$9:$I$108,7)=$A923),--('8. Transfers'!$J$9:$J$108="Matched"))+IF($O923="",0,COUNTIFS('9. Payroll Allocation'!$B$234:$B$253,$O923,'9. Payroll Allocation'!$H$234:$H$253,"Tied out"))&gt;0,"Linked","MISSING DETAIL")))</f>
        <v/>
      </c>
      <c r="T923" s="58" t="str">
        <f t="shared" si="133"/>
        <v/>
      </c>
      <c r="U923" s="59" t="str">
        <f>IF($T923="","",COUNTIF($T$6:$T923,"?*"))</f>
        <v/>
      </c>
      <c r="V923" s="58" t="str">
        <f t="shared" si="134"/>
        <v/>
      </c>
    </row>
    <row r="924" spans="1:22" ht="12.95" customHeight="1" x14ac:dyDescent="0.25">
      <c r="A924" s="52" t="str">
        <f t="shared" si="126"/>
        <v/>
      </c>
      <c r="B924" s="37"/>
      <c r="C924" s="28"/>
      <c r="D924" s="35"/>
      <c r="E924" s="38"/>
      <c r="F924" s="38"/>
      <c r="G924" s="52" t="str">
        <f t="shared" si="127"/>
        <v/>
      </c>
      <c r="H924" s="53" t="str">
        <f t="shared" si="128"/>
        <v/>
      </c>
      <c r="I924" s="40"/>
      <c r="J924" s="54" t="str">
        <f t="shared" si="129"/>
        <v/>
      </c>
      <c r="K924" s="41" t="str">
        <f t="shared" si="130"/>
        <v/>
      </c>
      <c r="L924" s="55"/>
      <c r="M924" s="56">
        <f t="shared" si="131"/>
        <v>0</v>
      </c>
      <c r="N924" s="56">
        <f t="shared" si="132"/>
        <v>0</v>
      </c>
      <c r="O924" s="57"/>
      <c r="P924" s="40"/>
      <c r="Q924" s="52" t="str">
        <f>IF($D924="","",IF($K924&lt;&gt;"Balance Sheet / Clearing","-",IF(SUMPRODUCT(--(LEFT('7. Settlements'!$J$8:$J$107,7)=$A924),--('7. Settlements'!$M$8:$M$107="Tied out"))+SUMPRODUCT(--(LEFT('8. Transfers'!$H$9:$H$108,7)=$A924),--('8. Transfers'!$J$9:$J$108="Matched"))+SUMPRODUCT(--(LEFT('8. Transfers'!$I$9:$I$108,7)=$A924),--('8. Transfers'!$J$9:$J$108="Matched"))+IF($O924="",0,COUNTIFS('9. Payroll Allocation'!$B$234:$B$253,$O924,'9. Payroll Allocation'!$H$234:$H$253,"Tied out"))&gt;0,"Linked","MISSING DETAIL")))</f>
        <v/>
      </c>
      <c r="T924" s="58" t="str">
        <f t="shared" si="133"/>
        <v/>
      </c>
      <c r="U924" s="59" t="str">
        <f>IF($T924="","",COUNTIF($T$6:$T924,"?*"))</f>
        <v/>
      </c>
      <c r="V924" s="58" t="str">
        <f t="shared" si="134"/>
        <v/>
      </c>
    </row>
    <row r="925" spans="1:22" ht="12.95" customHeight="1" x14ac:dyDescent="0.25">
      <c r="A925" s="60" t="str">
        <f t="shared" si="126"/>
        <v/>
      </c>
      <c r="B925" s="37"/>
      <c r="C925" s="28"/>
      <c r="D925" s="35"/>
      <c r="E925" s="38"/>
      <c r="F925" s="38"/>
      <c r="G925" s="60" t="str">
        <f t="shared" si="127"/>
        <v/>
      </c>
      <c r="H925" s="61" t="str">
        <f t="shared" si="128"/>
        <v/>
      </c>
      <c r="I925" s="40"/>
      <c r="J925" s="62" t="str">
        <f t="shared" si="129"/>
        <v/>
      </c>
      <c r="K925" s="45" t="str">
        <f t="shared" si="130"/>
        <v/>
      </c>
      <c r="L925" s="55"/>
      <c r="M925" s="63">
        <f t="shared" si="131"/>
        <v>0</v>
      </c>
      <c r="N925" s="63">
        <f t="shared" si="132"/>
        <v>0</v>
      </c>
      <c r="O925" s="57"/>
      <c r="P925" s="40"/>
      <c r="Q925" s="60" t="str">
        <f>IF($D925="","",IF($K925&lt;&gt;"Balance Sheet / Clearing","-",IF(SUMPRODUCT(--(LEFT('7. Settlements'!$J$8:$J$107,7)=$A925),--('7. Settlements'!$M$8:$M$107="Tied out"))+SUMPRODUCT(--(LEFT('8. Transfers'!$H$9:$H$108,7)=$A925),--('8. Transfers'!$J$9:$J$108="Matched"))+SUMPRODUCT(--(LEFT('8. Transfers'!$I$9:$I$108,7)=$A925),--('8. Transfers'!$J$9:$J$108="Matched"))+IF($O925="",0,COUNTIFS('9. Payroll Allocation'!$B$234:$B$253,$O925,'9. Payroll Allocation'!$H$234:$H$253,"Tied out"))&gt;0,"Linked","MISSING DETAIL")))</f>
        <v/>
      </c>
      <c r="T925" s="58" t="str">
        <f t="shared" si="133"/>
        <v/>
      </c>
      <c r="U925" s="59" t="str">
        <f>IF($T925="","",COUNTIF($T$6:$T925,"?*"))</f>
        <v/>
      </c>
      <c r="V925" s="58" t="str">
        <f t="shared" si="134"/>
        <v/>
      </c>
    </row>
    <row r="926" spans="1:22" ht="12.95" customHeight="1" x14ac:dyDescent="0.25">
      <c r="A926" s="52" t="str">
        <f t="shared" si="126"/>
        <v/>
      </c>
      <c r="B926" s="37"/>
      <c r="C926" s="28"/>
      <c r="D926" s="35"/>
      <c r="E926" s="38"/>
      <c r="F926" s="38"/>
      <c r="G926" s="52" t="str">
        <f t="shared" si="127"/>
        <v/>
      </c>
      <c r="H926" s="53" t="str">
        <f t="shared" si="128"/>
        <v/>
      </c>
      <c r="I926" s="40"/>
      <c r="J926" s="54" t="str">
        <f t="shared" si="129"/>
        <v/>
      </c>
      <c r="K926" s="41" t="str">
        <f t="shared" si="130"/>
        <v/>
      </c>
      <c r="L926" s="55"/>
      <c r="M926" s="56">
        <f t="shared" si="131"/>
        <v>0</v>
      </c>
      <c r="N926" s="56">
        <f t="shared" si="132"/>
        <v>0</v>
      </c>
      <c r="O926" s="57"/>
      <c r="P926" s="40"/>
      <c r="Q926" s="52" t="str">
        <f>IF($D926="","",IF($K926&lt;&gt;"Balance Sheet / Clearing","-",IF(SUMPRODUCT(--(LEFT('7. Settlements'!$J$8:$J$107,7)=$A926),--('7. Settlements'!$M$8:$M$107="Tied out"))+SUMPRODUCT(--(LEFT('8. Transfers'!$H$9:$H$108,7)=$A926),--('8. Transfers'!$J$9:$J$108="Matched"))+SUMPRODUCT(--(LEFT('8. Transfers'!$I$9:$I$108,7)=$A926),--('8. Transfers'!$J$9:$J$108="Matched"))+IF($O926="",0,COUNTIFS('9. Payroll Allocation'!$B$234:$B$253,$O926,'9. Payroll Allocation'!$H$234:$H$253,"Tied out"))&gt;0,"Linked","MISSING DETAIL")))</f>
        <v/>
      </c>
      <c r="T926" s="58" t="str">
        <f t="shared" si="133"/>
        <v/>
      </c>
      <c r="U926" s="59" t="str">
        <f>IF($T926="","",COUNTIF($T$6:$T926,"?*"))</f>
        <v/>
      </c>
      <c r="V926" s="58" t="str">
        <f t="shared" si="134"/>
        <v/>
      </c>
    </row>
    <row r="927" spans="1:22" ht="12.95" customHeight="1" x14ac:dyDescent="0.25">
      <c r="A927" s="60" t="str">
        <f t="shared" si="126"/>
        <v/>
      </c>
      <c r="B927" s="37"/>
      <c r="C927" s="28"/>
      <c r="D927" s="35"/>
      <c r="E927" s="38"/>
      <c r="F927" s="38"/>
      <c r="G927" s="60" t="str">
        <f t="shared" si="127"/>
        <v/>
      </c>
      <c r="H927" s="61" t="str">
        <f t="shared" si="128"/>
        <v/>
      </c>
      <c r="I927" s="40"/>
      <c r="J927" s="62" t="str">
        <f t="shared" si="129"/>
        <v/>
      </c>
      <c r="K927" s="45" t="str">
        <f t="shared" si="130"/>
        <v/>
      </c>
      <c r="L927" s="55"/>
      <c r="M927" s="63">
        <f t="shared" si="131"/>
        <v>0</v>
      </c>
      <c r="N927" s="63">
        <f t="shared" si="132"/>
        <v>0</v>
      </c>
      <c r="O927" s="57"/>
      <c r="P927" s="40"/>
      <c r="Q927" s="60" t="str">
        <f>IF($D927="","",IF($K927&lt;&gt;"Balance Sheet / Clearing","-",IF(SUMPRODUCT(--(LEFT('7. Settlements'!$J$8:$J$107,7)=$A927),--('7. Settlements'!$M$8:$M$107="Tied out"))+SUMPRODUCT(--(LEFT('8. Transfers'!$H$9:$H$108,7)=$A927),--('8. Transfers'!$J$9:$J$108="Matched"))+SUMPRODUCT(--(LEFT('8. Transfers'!$I$9:$I$108,7)=$A927),--('8. Transfers'!$J$9:$J$108="Matched"))+IF($O927="",0,COUNTIFS('9. Payroll Allocation'!$B$234:$B$253,$O927,'9. Payroll Allocation'!$H$234:$H$253,"Tied out"))&gt;0,"Linked","MISSING DETAIL")))</f>
        <v/>
      </c>
      <c r="T927" s="58" t="str">
        <f t="shared" si="133"/>
        <v/>
      </c>
      <c r="U927" s="59" t="str">
        <f>IF($T927="","",COUNTIF($T$6:$T927,"?*"))</f>
        <v/>
      </c>
      <c r="V927" s="58" t="str">
        <f t="shared" si="134"/>
        <v/>
      </c>
    </row>
    <row r="928" spans="1:22" ht="12.95" customHeight="1" x14ac:dyDescent="0.25">
      <c r="A928" s="52" t="str">
        <f t="shared" si="126"/>
        <v/>
      </c>
      <c r="B928" s="37"/>
      <c r="C928" s="28"/>
      <c r="D928" s="35"/>
      <c r="E928" s="38"/>
      <c r="F928" s="38"/>
      <c r="G928" s="52" t="str">
        <f t="shared" si="127"/>
        <v/>
      </c>
      <c r="H928" s="53" t="str">
        <f t="shared" si="128"/>
        <v/>
      </c>
      <c r="I928" s="40"/>
      <c r="J928" s="54" t="str">
        <f t="shared" si="129"/>
        <v/>
      </c>
      <c r="K928" s="41" t="str">
        <f t="shared" si="130"/>
        <v/>
      </c>
      <c r="L928" s="55"/>
      <c r="M928" s="56">
        <f t="shared" si="131"/>
        <v>0</v>
      </c>
      <c r="N928" s="56">
        <f t="shared" si="132"/>
        <v>0</v>
      </c>
      <c r="O928" s="57"/>
      <c r="P928" s="40"/>
      <c r="Q928" s="52" t="str">
        <f>IF($D928="","",IF($K928&lt;&gt;"Balance Sheet / Clearing","-",IF(SUMPRODUCT(--(LEFT('7. Settlements'!$J$8:$J$107,7)=$A928),--('7. Settlements'!$M$8:$M$107="Tied out"))+SUMPRODUCT(--(LEFT('8. Transfers'!$H$9:$H$108,7)=$A928),--('8. Transfers'!$J$9:$J$108="Matched"))+SUMPRODUCT(--(LEFT('8. Transfers'!$I$9:$I$108,7)=$A928),--('8. Transfers'!$J$9:$J$108="Matched"))+IF($O928="",0,COUNTIFS('9. Payroll Allocation'!$B$234:$B$253,$O928,'9. Payroll Allocation'!$H$234:$H$253,"Tied out"))&gt;0,"Linked","MISSING DETAIL")))</f>
        <v/>
      </c>
      <c r="T928" s="58" t="str">
        <f t="shared" si="133"/>
        <v/>
      </c>
      <c r="U928" s="59" t="str">
        <f>IF($T928="","",COUNTIF($T$6:$T928,"?*"))</f>
        <v/>
      </c>
      <c r="V928" s="58" t="str">
        <f t="shared" si="134"/>
        <v/>
      </c>
    </row>
    <row r="929" spans="1:22" ht="12.95" customHeight="1" x14ac:dyDescent="0.25">
      <c r="A929" s="60" t="str">
        <f t="shared" si="126"/>
        <v/>
      </c>
      <c r="B929" s="37"/>
      <c r="C929" s="28"/>
      <c r="D929" s="35"/>
      <c r="E929" s="38"/>
      <c r="F929" s="38"/>
      <c r="G929" s="60" t="str">
        <f t="shared" si="127"/>
        <v/>
      </c>
      <c r="H929" s="61" t="str">
        <f t="shared" si="128"/>
        <v/>
      </c>
      <c r="I929" s="40"/>
      <c r="J929" s="62" t="str">
        <f t="shared" si="129"/>
        <v/>
      </c>
      <c r="K929" s="45" t="str">
        <f t="shared" si="130"/>
        <v/>
      </c>
      <c r="L929" s="55"/>
      <c r="M929" s="63">
        <f t="shared" si="131"/>
        <v>0</v>
      </c>
      <c r="N929" s="63">
        <f t="shared" si="132"/>
        <v>0</v>
      </c>
      <c r="O929" s="57"/>
      <c r="P929" s="40"/>
      <c r="Q929" s="60" t="str">
        <f>IF($D929="","",IF($K929&lt;&gt;"Balance Sheet / Clearing","-",IF(SUMPRODUCT(--(LEFT('7. Settlements'!$J$8:$J$107,7)=$A929),--('7. Settlements'!$M$8:$M$107="Tied out"))+SUMPRODUCT(--(LEFT('8. Transfers'!$H$9:$H$108,7)=$A929),--('8. Transfers'!$J$9:$J$108="Matched"))+SUMPRODUCT(--(LEFT('8. Transfers'!$I$9:$I$108,7)=$A929),--('8. Transfers'!$J$9:$J$108="Matched"))+IF($O929="",0,COUNTIFS('9. Payroll Allocation'!$B$234:$B$253,$O929,'9. Payroll Allocation'!$H$234:$H$253,"Tied out"))&gt;0,"Linked","MISSING DETAIL")))</f>
        <v/>
      </c>
      <c r="T929" s="58" t="str">
        <f t="shared" si="133"/>
        <v/>
      </c>
      <c r="U929" s="59" t="str">
        <f>IF($T929="","",COUNTIF($T$6:$T929,"?*"))</f>
        <v/>
      </c>
      <c r="V929" s="58" t="str">
        <f t="shared" si="134"/>
        <v/>
      </c>
    </row>
    <row r="930" spans="1:22" ht="12.95" customHeight="1" x14ac:dyDescent="0.25">
      <c r="A930" s="52" t="str">
        <f t="shared" si="126"/>
        <v/>
      </c>
      <c r="B930" s="37"/>
      <c r="C930" s="28"/>
      <c r="D930" s="35"/>
      <c r="E930" s="38"/>
      <c r="F930" s="38"/>
      <c r="G930" s="52" t="str">
        <f t="shared" si="127"/>
        <v/>
      </c>
      <c r="H930" s="53" t="str">
        <f t="shared" si="128"/>
        <v/>
      </c>
      <c r="I930" s="40"/>
      <c r="J930" s="54" t="str">
        <f t="shared" si="129"/>
        <v/>
      </c>
      <c r="K930" s="41" t="str">
        <f t="shared" si="130"/>
        <v/>
      </c>
      <c r="L930" s="55"/>
      <c r="M930" s="56">
        <f t="shared" si="131"/>
        <v>0</v>
      </c>
      <c r="N930" s="56">
        <f t="shared" si="132"/>
        <v>0</v>
      </c>
      <c r="O930" s="57"/>
      <c r="P930" s="40"/>
      <c r="Q930" s="52" t="str">
        <f>IF($D930="","",IF($K930&lt;&gt;"Balance Sheet / Clearing","-",IF(SUMPRODUCT(--(LEFT('7. Settlements'!$J$8:$J$107,7)=$A930),--('7. Settlements'!$M$8:$M$107="Tied out"))+SUMPRODUCT(--(LEFT('8. Transfers'!$H$9:$H$108,7)=$A930),--('8. Transfers'!$J$9:$J$108="Matched"))+SUMPRODUCT(--(LEFT('8. Transfers'!$I$9:$I$108,7)=$A930),--('8. Transfers'!$J$9:$J$108="Matched"))+IF($O930="",0,COUNTIFS('9. Payroll Allocation'!$B$234:$B$253,$O930,'9. Payroll Allocation'!$H$234:$H$253,"Tied out"))&gt;0,"Linked","MISSING DETAIL")))</f>
        <v/>
      </c>
      <c r="T930" s="58" t="str">
        <f t="shared" si="133"/>
        <v/>
      </c>
      <c r="U930" s="59" t="str">
        <f>IF($T930="","",COUNTIF($T$6:$T930,"?*"))</f>
        <v/>
      </c>
      <c r="V930" s="58" t="str">
        <f t="shared" si="134"/>
        <v/>
      </c>
    </row>
    <row r="931" spans="1:22" ht="12.95" customHeight="1" x14ac:dyDescent="0.25">
      <c r="A931" s="60" t="str">
        <f t="shared" si="126"/>
        <v/>
      </c>
      <c r="B931" s="37"/>
      <c r="C931" s="28"/>
      <c r="D931" s="35"/>
      <c r="E931" s="38"/>
      <c r="F931" s="38"/>
      <c r="G931" s="60" t="str">
        <f t="shared" si="127"/>
        <v/>
      </c>
      <c r="H931" s="61" t="str">
        <f t="shared" si="128"/>
        <v/>
      </c>
      <c r="I931" s="40"/>
      <c r="J931" s="62" t="str">
        <f t="shared" si="129"/>
        <v/>
      </c>
      <c r="K931" s="45" t="str">
        <f t="shared" si="130"/>
        <v/>
      </c>
      <c r="L931" s="55"/>
      <c r="M931" s="63">
        <f t="shared" si="131"/>
        <v>0</v>
      </c>
      <c r="N931" s="63">
        <f t="shared" si="132"/>
        <v>0</v>
      </c>
      <c r="O931" s="57"/>
      <c r="P931" s="40"/>
      <c r="Q931" s="60" t="str">
        <f>IF($D931="","",IF($K931&lt;&gt;"Balance Sheet / Clearing","-",IF(SUMPRODUCT(--(LEFT('7. Settlements'!$J$8:$J$107,7)=$A931),--('7. Settlements'!$M$8:$M$107="Tied out"))+SUMPRODUCT(--(LEFT('8. Transfers'!$H$9:$H$108,7)=$A931),--('8. Transfers'!$J$9:$J$108="Matched"))+SUMPRODUCT(--(LEFT('8. Transfers'!$I$9:$I$108,7)=$A931),--('8. Transfers'!$J$9:$J$108="Matched"))+IF($O931="",0,COUNTIFS('9. Payroll Allocation'!$B$234:$B$253,$O931,'9. Payroll Allocation'!$H$234:$H$253,"Tied out"))&gt;0,"Linked","MISSING DETAIL")))</f>
        <v/>
      </c>
      <c r="T931" s="58" t="str">
        <f t="shared" si="133"/>
        <v/>
      </c>
      <c r="U931" s="59" t="str">
        <f>IF($T931="","",COUNTIF($T$6:$T931,"?*"))</f>
        <v/>
      </c>
      <c r="V931" s="58" t="str">
        <f t="shared" si="134"/>
        <v/>
      </c>
    </row>
    <row r="932" spans="1:22" ht="12.95" customHeight="1" x14ac:dyDescent="0.25">
      <c r="A932" s="52" t="str">
        <f t="shared" si="126"/>
        <v/>
      </c>
      <c r="B932" s="37"/>
      <c r="C932" s="28"/>
      <c r="D932" s="35"/>
      <c r="E932" s="38"/>
      <c r="F932" s="38"/>
      <c r="G932" s="52" t="str">
        <f t="shared" si="127"/>
        <v/>
      </c>
      <c r="H932" s="53" t="str">
        <f t="shared" si="128"/>
        <v/>
      </c>
      <c r="I932" s="40"/>
      <c r="J932" s="54" t="str">
        <f t="shared" si="129"/>
        <v/>
      </c>
      <c r="K932" s="41" t="str">
        <f t="shared" si="130"/>
        <v/>
      </c>
      <c r="L932" s="55"/>
      <c r="M932" s="56">
        <f t="shared" si="131"/>
        <v>0</v>
      </c>
      <c r="N932" s="56">
        <f t="shared" si="132"/>
        <v>0</v>
      </c>
      <c r="O932" s="57"/>
      <c r="P932" s="40"/>
      <c r="Q932" s="52" t="str">
        <f>IF($D932="","",IF($K932&lt;&gt;"Balance Sheet / Clearing","-",IF(SUMPRODUCT(--(LEFT('7. Settlements'!$J$8:$J$107,7)=$A932),--('7. Settlements'!$M$8:$M$107="Tied out"))+SUMPRODUCT(--(LEFT('8. Transfers'!$H$9:$H$108,7)=$A932),--('8. Transfers'!$J$9:$J$108="Matched"))+SUMPRODUCT(--(LEFT('8. Transfers'!$I$9:$I$108,7)=$A932),--('8. Transfers'!$J$9:$J$108="Matched"))+IF($O932="",0,COUNTIFS('9. Payroll Allocation'!$B$234:$B$253,$O932,'9. Payroll Allocation'!$H$234:$H$253,"Tied out"))&gt;0,"Linked","MISSING DETAIL")))</f>
        <v/>
      </c>
      <c r="T932" s="58" t="str">
        <f t="shared" si="133"/>
        <v/>
      </c>
      <c r="U932" s="59" t="str">
        <f>IF($T932="","",COUNTIF($T$6:$T932,"?*"))</f>
        <v/>
      </c>
      <c r="V932" s="58" t="str">
        <f t="shared" si="134"/>
        <v/>
      </c>
    </row>
    <row r="933" spans="1:22" ht="12.95" customHeight="1" x14ac:dyDescent="0.25">
      <c r="A933" s="60" t="str">
        <f t="shared" si="126"/>
        <v/>
      </c>
      <c r="B933" s="37"/>
      <c r="C933" s="28"/>
      <c r="D933" s="35"/>
      <c r="E933" s="38"/>
      <c r="F933" s="38"/>
      <c r="G933" s="60" t="str">
        <f t="shared" si="127"/>
        <v/>
      </c>
      <c r="H933" s="61" t="str">
        <f t="shared" si="128"/>
        <v/>
      </c>
      <c r="I933" s="40"/>
      <c r="J933" s="62" t="str">
        <f t="shared" si="129"/>
        <v/>
      </c>
      <c r="K933" s="45" t="str">
        <f t="shared" si="130"/>
        <v/>
      </c>
      <c r="L933" s="55"/>
      <c r="M933" s="63">
        <f t="shared" si="131"/>
        <v>0</v>
      </c>
      <c r="N933" s="63">
        <f t="shared" si="132"/>
        <v>0</v>
      </c>
      <c r="O933" s="57"/>
      <c r="P933" s="40"/>
      <c r="Q933" s="60" t="str">
        <f>IF($D933="","",IF($K933&lt;&gt;"Balance Sheet / Clearing","-",IF(SUMPRODUCT(--(LEFT('7. Settlements'!$J$8:$J$107,7)=$A933),--('7. Settlements'!$M$8:$M$107="Tied out"))+SUMPRODUCT(--(LEFT('8. Transfers'!$H$9:$H$108,7)=$A933),--('8. Transfers'!$J$9:$J$108="Matched"))+SUMPRODUCT(--(LEFT('8. Transfers'!$I$9:$I$108,7)=$A933),--('8. Transfers'!$J$9:$J$108="Matched"))+IF($O933="",0,COUNTIFS('9. Payroll Allocation'!$B$234:$B$253,$O933,'9. Payroll Allocation'!$H$234:$H$253,"Tied out"))&gt;0,"Linked","MISSING DETAIL")))</f>
        <v/>
      </c>
      <c r="T933" s="58" t="str">
        <f t="shared" si="133"/>
        <v/>
      </c>
      <c r="U933" s="59" t="str">
        <f>IF($T933="","",COUNTIF($T$6:$T933,"?*"))</f>
        <v/>
      </c>
      <c r="V933" s="58" t="str">
        <f t="shared" si="134"/>
        <v/>
      </c>
    </row>
    <row r="934" spans="1:22" ht="12.95" customHeight="1" x14ac:dyDescent="0.25">
      <c r="A934" s="52" t="str">
        <f t="shared" si="126"/>
        <v/>
      </c>
      <c r="B934" s="37"/>
      <c r="C934" s="28"/>
      <c r="D934" s="35"/>
      <c r="E934" s="38"/>
      <c r="F934" s="38"/>
      <c r="G934" s="52" t="str">
        <f t="shared" si="127"/>
        <v/>
      </c>
      <c r="H934" s="53" t="str">
        <f t="shared" si="128"/>
        <v/>
      </c>
      <c r="I934" s="40"/>
      <c r="J934" s="54" t="str">
        <f t="shared" si="129"/>
        <v/>
      </c>
      <c r="K934" s="41" t="str">
        <f t="shared" si="130"/>
        <v/>
      </c>
      <c r="L934" s="55"/>
      <c r="M934" s="56">
        <f t="shared" si="131"/>
        <v>0</v>
      </c>
      <c r="N934" s="56">
        <f t="shared" si="132"/>
        <v>0</v>
      </c>
      <c r="O934" s="57"/>
      <c r="P934" s="40"/>
      <c r="Q934" s="52" t="str">
        <f>IF($D934="","",IF($K934&lt;&gt;"Balance Sheet / Clearing","-",IF(SUMPRODUCT(--(LEFT('7. Settlements'!$J$8:$J$107,7)=$A934),--('7. Settlements'!$M$8:$M$107="Tied out"))+SUMPRODUCT(--(LEFT('8. Transfers'!$H$9:$H$108,7)=$A934),--('8. Transfers'!$J$9:$J$108="Matched"))+SUMPRODUCT(--(LEFT('8. Transfers'!$I$9:$I$108,7)=$A934),--('8. Transfers'!$J$9:$J$108="Matched"))+IF($O934="",0,COUNTIFS('9. Payroll Allocation'!$B$234:$B$253,$O934,'9. Payroll Allocation'!$H$234:$H$253,"Tied out"))&gt;0,"Linked","MISSING DETAIL")))</f>
        <v/>
      </c>
      <c r="T934" s="58" t="str">
        <f t="shared" si="133"/>
        <v/>
      </c>
      <c r="U934" s="59" t="str">
        <f>IF($T934="","",COUNTIF($T$6:$T934,"?*"))</f>
        <v/>
      </c>
      <c r="V934" s="58" t="str">
        <f t="shared" si="134"/>
        <v/>
      </c>
    </row>
    <row r="935" spans="1:22" ht="12.95" customHeight="1" x14ac:dyDescent="0.25">
      <c r="A935" s="60" t="str">
        <f t="shared" si="126"/>
        <v/>
      </c>
      <c r="B935" s="37"/>
      <c r="C935" s="28"/>
      <c r="D935" s="35"/>
      <c r="E935" s="38"/>
      <c r="F935" s="38"/>
      <c r="G935" s="60" t="str">
        <f t="shared" si="127"/>
        <v/>
      </c>
      <c r="H935" s="61" t="str">
        <f t="shared" si="128"/>
        <v/>
      </c>
      <c r="I935" s="40"/>
      <c r="J935" s="62" t="str">
        <f t="shared" si="129"/>
        <v/>
      </c>
      <c r="K935" s="45" t="str">
        <f t="shared" si="130"/>
        <v/>
      </c>
      <c r="L935" s="55"/>
      <c r="M935" s="63">
        <f t="shared" si="131"/>
        <v>0</v>
      </c>
      <c r="N935" s="63">
        <f t="shared" si="132"/>
        <v>0</v>
      </c>
      <c r="O935" s="57"/>
      <c r="P935" s="40"/>
      <c r="Q935" s="60" t="str">
        <f>IF($D935="","",IF($K935&lt;&gt;"Balance Sheet / Clearing","-",IF(SUMPRODUCT(--(LEFT('7. Settlements'!$J$8:$J$107,7)=$A935),--('7. Settlements'!$M$8:$M$107="Tied out"))+SUMPRODUCT(--(LEFT('8. Transfers'!$H$9:$H$108,7)=$A935),--('8. Transfers'!$J$9:$J$108="Matched"))+SUMPRODUCT(--(LEFT('8. Transfers'!$I$9:$I$108,7)=$A935),--('8. Transfers'!$J$9:$J$108="Matched"))+IF($O935="",0,COUNTIFS('9. Payroll Allocation'!$B$234:$B$253,$O935,'9. Payroll Allocation'!$H$234:$H$253,"Tied out"))&gt;0,"Linked","MISSING DETAIL")))</f>
        <v/>
      </c>
      <c r="T935" s="58" t="str">
        <f t="shared" si="133"/>
        <v/>
      </c>
      <c r="U935" s="59" t="str">
        <f>IF($T935="","",COUNTIF($T$6:$T935,"?*"))</f>
        <v/>
      </c>
      <c r="V935" s="58" t="str">
        <f t="shared" si="134"/>
        <v/>
      </c>
    </row>
    <row r="936" spans="1:22" ht="12.95" customHeight="1" x14ac:dyDescent="0.25">
      <c r="A936" s="52" t="str">
        <f t="shared" si="126"/>
        <v/>
      </c>
      <c r="B936" s="37"/>
      <c r="C936" s="28"/>
      <c r="D936" s="35"/>
      <c r="E936" s="38"/>
      <c r="F936" s="38"/>
      <c r="G936" s="52" t="str">
        <f t="shared" si="127"/>
        <v/>
      </c>
      <c r="H936" s="53" t="str">
        <f t="shared" si="128"/>
        <v/>
      </c>
      <c r="I936" s="40"/>
      <c r="J936" s="54" t="str">
        <f t="shared" si="129"/>
        <v/>
      </c>
      <c r="K936" s="41" t="str">
        <f t="shared" si="130"/>
        <v/>
      </c>
      <c r="L936" s="55"/>
      <c r="M936" s="56">
        <f t="shared" si="131"/>
        <v>0</v>
      </c>
      <c r="N936" s="56">
        <f t="shared" si="132"/>
        <v>0</v>
      </c>
      <c r="O936" s="57"/>
      <c r="P936" s="40"/>
      <c r="Q936" s="52" t="str">
        <f>IF($D936="","",IF($K936&lt;&gt;"Balance Sheet / Clearing","-",IF(SUMPRODUCT(--(LEFT('7. Settlements'!$J$8:$J$107,7)=$A936),--('7. Settlements'!$M$8:$M$107="Tied out"))+SUMPRODUCT(--(LEFT('8. Transfers'!$H$9:$H$108,7)=$A936),--('8. Transfers'!$J$9:$J$108="Matched"))+SUMPRODUCT(--(LEFT('8. Transfers'!$I$9:$I$108,7)=$A936),--('8. Transfers'!$J$9:$J$108="Matched"))+IF($O936="",0,COUNTIFS('9. Payroll Allocation'!$B$234:$B$253,$O936,'9. Payroll Allocation'!$H$234:$H$253,"Tied out"))&gt;0,"Linked","MISSING DETAIL")))</f>
        <v/>
      </c>
      <c r="T936" s="58" t="str">
        <f t="shared" si="133"/>
        <v/>
      </c>
      <c r="U936" s="59" t="str">
        <f>IF($T936="","",COUNTIF($T$6:$T936,"?*"))</f>
        <v/>
      </c>
      <c r="V936" s="58" t="str">
        <f t="shared" si="134"/>
        <v/>
      </c>
    </row>
    <row r="937" spans="1:22" ht="12.95" customHeight="1" x14ac:dyDescent="0.25">
      <c r="A937" s="60" t="str">
        <f t="shared" si="126"/>
        <v/>
      </c>
      <c r="B937" s="37"/>
      <c r="C937" s="28"/>
      <c r="D937" s="35"/>
      <c r="E937" s="38"/>
      <c r="F937" s="38"/>
      <c r="G937" s="60" t="str">
        <f t="shared" si="127"/>
        <v/>
      </c>
      <c r="H937" s="61" t="str">
        <f t="shared" si="128"/>
        <v/>
      </c>
      <c r="I937" s="40"/>
      <c r="J937" s="62" t="str">
        <f t="shared" si="129"/>
        <v/>
      </c>
      <c r="K937" s="45" t="str">
        <f t="shared" si="130"/>
        <v/>
      </c>
      <c r="L937" s="55"/>
      <c r="M937" s="63">
        <f t="shared" si="131"/>
        <v>0</v>
      </c>
      <c r="N937" s="63">
        <f t="shared" si="132"/>
        <v>0</v>
      </c>
      <c r="O937" s="57"/>
      <c r="P937" s="40"/>
      <c r="Q937" s="60" t="str">
        <f>IF($D937="","",IF($K937&lt;&gt;"Balance Sheet / Clearing","-",IF(SUMPRODUCT(--(LEFT('7. Settlements'!$J$8:$J$107,7)=$A937),--('7. Settlements'!$M$8:$M$107="Tied out"))+SUMPRODUCT(--(LEFT('8. Transfers'!$H$9:$H$108,7)=$A937),--('8. Transfers'!$J$9:$J$108="Matched"))+SUMPRODUCT(--(LEFT('8. Transfers'!$I$9:$I$108,7)=$A937),--('8. Transfers'!$J$9:$J$108="Matched"))+IF($O937="",0,COUNTIFS('9. Payroll Allocation'!$B$234:$B$253,$O937,'9. Payroll Allocation'!$H$234:$H$253,"Tied out"))&gt;0,"Linked","MISSING DETAIL")))</f>
        <v/>
      </c>
      <c r="T937" s="58" t="str">
        <f t="shared" si="133"/>
        <v/>
      </c>
      <c r="U937" s="59" t="str">
        <f>IF($T937="","",COUNTIF($T$6:$T937,"?*"))</f>
        <v/>
      </c>
      <c r="V937" s="58" t="str">
        <f t="shared" si="134"/>
        <v/>
      </c>
    </row>
    <row r="938" spans="1:22" ht="12.95" customHeight="1" x14ac:dyDescent="0.25">
      <c r="A938" s="52" t="str">
        <f t="shared" si="126"/>
        <v/>
      </c>
      <c r="B938" s="37"/>
      <c r="C938" s="28"/>
      <c r="D938" s="35"/>
      <c r="E938" s="38"/>
      <c r="F938" s="38"/>
      <c r="G938" s="52" t="str">
        <f t="shared" si="127"/>
        <v/>
      </c>
      <c r="H938" s="53" t="str">
        <f t="shared" si="128"/>
        <v/>
      </c>
      <c r="I938" s="40"/>
      <c r="J938" s="54" t="str">
        <f t="shared" si="129"/>
        <v/>
      </c>
      <c r="K938" s="41" t="str">
        <f t="shared" si="130"/>
        <v/>
      </c>
      <c r="L938" s="55"/>
      <c r="M938" s="56">
        <f t="shared" si="131"/>
        <v>0</v>
      </c>
      <c r="N938" s="56">
        <f t="shared" si="132"/>
        <v>0</v>
      </c>
      <c r="O938" s="57"/>
      <c r="P938" s="40"/>
      <c r="Q938" s="52" t="str">
        <f>IF($D938="","",IF($K938&lt;&gt;"Balance Sheet / Clearing","-",IF(SUMPRODUCT(--(LEFT('7. Settlements'!$J$8:$J$107,7)=$A938),--('7. Settlements'!$M$8:$M$107="Tied out"))+SUMPRODUCT(--(LEFT('8. Transfers'!$H$9:$H$108,7)=$A938),--('8. Transfers'!$J$9:$J$108="Matched"))+SUMPRODUCT(--(LEFT('8. Transfers'!$I$9:$I$108,7)=$A938),--('8. Transfers'!$J$9:$J$108="Matched"))+IF($O938="",0,COUNTIFS('9. Payroll Allocation'!$B$234:$B$253,$O938,'9. Payroll Allocation'!$H$234:$H$253,"Tied out"))&gt;0,"Linked","MISSING DETAIL")))</f>
        <v/>
      </c>
      <c r="T938" s="58" t="str">
        <f t="shared" si="133"/>
        <v/>
      </c>
      <c r="U938" s="59" t="str">
        <f>IF($T938="","",COUNTIF($T$6:$T938,"?*"))</f>
        <v/>
      </c>
      <c r="V938" s="58" t="str">
        <f t="shared" si="134"/>
        <v/>
      </c>
    </row>
    <row r="939" spans="1:22" ht="12.95" customHeight="1" x14ac:dyDescent="0.25">
      <c r="A939" s="60" t="str">
        <f t="shared" si="126"/>
        <v/>
      </c>
      <c r="B939" s="37"/>
      <c r="C939" s="28"/>
      <c r="D939" s="35"/>
      <c r="E939" s="38"/>
      <c r="F939" s="38"/>
      <c r="G939" s="60" t="str">
        <f t="shared" si="127"/>
        <v/>
      </c>
      <c r="H939" s="61" t="str">
        <f t="shared" si="128"/>
        <v/>
      </c>
      <c r="I939" s="40"/>
      <c r="J939" s="62" t="str">
        <f t="shared" si="129"/>
        <v/>
      </c>
      <c r="K939" s="45" t="str">
        <f t="shared" si="130"/>
        <v/>
      </c>
      <c r="L939" s="55"/>
      <c r="M939" s="63">
        <f t="shared" si="131"/>
        <v>0</v>
      </c>
      <c r="N939" s="63">
        <f t="shared" si="132"/>
        <v>0</v>
      </c>
      <c r="O939" s="57"/>
      <c r="P939" s="40"/>
      <c r="Q939" s="60" t="str">
        <f>IF($D939="","",IF($K939&lt;&gt;"Balance Sheet / Clearing","-",IF(SUMPRODUCT(--(LEFT('7. Settlements'!$J$8:$J$107,7)=$A939),--('7. Settlements'!$M$8:$M$107="Tied out"))+SUMPRODUCT(--(LEFT('8. Transfers'!$H$9:$H$108,7)=$A939),--('8. Transfers'!$J$9:$J$108="Matched"))+SUMPRODUCT(--(LEFT('8. Transfers'!$I$9:$I$108,7)=$A939),--('8. Transfers'!$J$9:$J$108="Matched"))+IF($O939="",0,COUNTIFS('9. Payroll Allocation'!$B$234:$B$253,$O939,'9. Payroll Allocation'!$H$234:$H$253,"Tied out"))&gt;0,"Linked","MISSING DETAIL")))</f>
        <v/>
      </c>
      <c r="T939" s="58" t="str">
        <f t="shared" si="133"/>
        <v/>
      </c>
      <c r="U939" s="59" t="str">
        <f>IF($T939="","",COUNTIF($T$6:$T939,"?*"))</f>
        <v/>
      </c>
      <c r="V939" s="58" t="str">
        <f t="shared" si="134"/>
        <v/>
      </c>
    </row>
    <row r="940" spans="1:22" ht="12.95" customHeight="1" x14ac:dyDescent="0.25">
      <c r="A940" s="52" t="str">
        <f t="shared" si="126"/>
        <v/>
      </c>
      <c r="B940" s="37"/>
      <c r="C940" s="28"/>
      <c r="D940" s="35"/>
      <c r="E940" s="38"/>
      <c r="F940" s="38"/>
      <c r="G940" s="52" t="str">
        <f t="shared" si="127"/>
        <v/>
      </c>
      <c r="H940" s="53" t="str">
        <f t="shared" si="128"/>
        <v/>
      </c>
      <c r="I940" s="40"/>
      <c r="J940" s="54" t="str">
        <f t="shared" si="129"/>
        <v/>
      </c>
      <c r="K940" s="41" t="str">
        <f t="shared" si="130"/>
        <v/>
      </c>
      <c r="L940" s="55"/>
      <c r="M940" s="56">
        <f t="shared" si="131"/>
        <v>0</v>
      </c>
      <c r="N940" s="56">
        <f t="shared" si="132"/>
        <v>0</v>
      </c>
      <c r="O940" s="57"/>
      <c r="P940" s="40"/>
      <c r="Q940" s="52" t="str">
        <f>IF($D940="","",IF($K940&lt;&gt;"Balance Sheet / Clearing","-",IF(SUMPRODUCT(--(LEFT('7. Settlements'!$J$8:$J$107,7)=$A940),--('7. Settlements'!$M$8:$M$107="Tied out"))+SUMPRODUCT(--(LEFT('8. Transfers'!$H$9:$H$108,7)=$A940),--('8. Transfers'!$J$9:$J$108="Matched"))+SUMPRODUCT(--(LEFT('8. Transfers'!$I$9:$I$108,7)=$A940),--('8. Transfers'!$J$9:$J$108="Matched"))+IF($O940="",0,COUNTIFS('9. Payroll Allocation'!$B$234:$B$253,$O940,'9. Payroll Allocation'!$H$234:$H$253,"Tied out"))&gt;0,"Linked","MISSING DETAIL")))</f>
        <v/>
      </c>
      <c r="T940" s="58" t="str">
        <f t="shared" si="133"/>
        <v/>
      </c>
      <c r="U940" s="59" t="str">
        <f>IF($T940="","",COUNTIF($T$6:$T940,"?*"))</f>
        <v/>
      </c>
      <c r="V940" s="58" t="str">
        <f t="shared" si="134"/>
        <v/>
      </c>
    </row>
    <row r="941" spans="1:22" ht="12.95" customHeight="1" x14ac:dyDescent="0.25">
      <c r="A941" s="60" t="str">
        <f t="shared" si="126"/>
        <v/>
      </c>
      <c r="B941" s="37"/>
      <c r="C941" s="28"/>
      <c r="D941" s="35"/>
      <c r="E941" s="38"/>
      <c r="F941" s="38"/>
      <c r="G941" s="60" t="str">
        <f t="shared" si="127"/>
        <v/>
      </c>
      <c r="H941" s="61" t="str">
        <f t="shared" si="128"/>
        <v/>
      </c>
      <c r="I941" s="40"/>
      <c r="J941" s="62" t="str">
        <f t="shared" si="129"/>
        <v/>
      </c>
      <c r="K941" s="45" t="str">
        <f t="shared" si="130"/>
        <v/>
      </c>
      <c r="L941" s="55"/>
      <c r="M941" s="63">
        <f t="shared" si="131"/>
        <v>0</v>
      </c>
      <c r="N941" s="63">
        <f t="shared" si="132"/>
        <v>0</v>
      </c>
      <c r="O941" s="57"/>
      <c r="P941" s="40"/>
      <c r="Q941" s="60" t="str">
        <f>IF($D941="","",IF($K941&lt;&gt;"Balance Sheet / Clearing","-",IF(SUMPRODUCT(--(LEFT('7. Settlements'!$J$8:$J$107,7)=$A941),--('7. Settlements'!$M$8:$M$107="Tied out"))+SUMPRODUCT(--(LEFT('8. Transfers'!$H$9:$H$108,7)=$A941),--('8. Transfers'!$J$9:$J$108="Matched"))+SUMPRODUCT(--(LEFT('8. Transfers'!$I$9:$I$108,7)=$A941),--('8. Transfers'!$J$9:$J$108="Matched"))+IF($O941="",0,COUNTIFS('9. Payroll Allocation'!$B$234:$B$253,$O941,'9. Payroll Allocation'!$H$234:$H$253,"Tied out"))&gt;0,"Linked","MISSING DETAIL")))</f>
        <v/>
      </c>
      <c r="T941" s="58" t="str">
        <f t="shared" si="133"/>
        <v/>
      </c>
      <c r="U941" s="59" t="str">
        <f>IF($T941="","",COUNTIF($T$6:$T941,"?*"))</f>
        <v/>
      </c>
      <c r="V941" s="58" t="str">
        <f t="shared" si="134"/>
        <v/>
      </c>
    </row>
    <row r="942" spans="1:22" ht="12.95" customHeight="1" x14ac:dyDescent="0.25">
      <c r="A942" s="52" t="str">
        <f t="shared" si="126"/>
        <v/>
      </c>
      <c r="B942" s="37"/>
      <c r="C942" s="28"/>
      <c r="D942" s="35"/>
      <c r="E942" s="38"/>
      <c r="F942" s="38"/>
      <c r="G942" s="52" t="str">
        <f t="shared" si="127"/>
        <v/>
      </c>
      <c r="H942" s="53" t="str">
        <f t="shared" si="128"/>
        <v/>
      </c>
      <c r="I942" s="40"/>
      <c r="J942" s="54" t="str">
        <f t="shared" si="129"/>
        <v/>
      </c>
      <c r="K942" s="41" t="str">
        <f t="shared" si="130"/>
        <v/>
      </c>
      <c r="L942" s="55"/>
      <c r="M942" s="56">
        <f t="shared" si="131"/>
        <v>0</v>
      </c>
      <c r="N942" s="56">
        <f t="shared" si="132"/>
        <v>0</v>
      </c>
      <c r="O942" s="57"/>
      <c r="P942" s="40"/>
      <c r="Q942" s="52" t="str">
        <f>IF($D942="","",IF($K942&lt;&gt;"Balance Sheet / Clearing","-",IF(SUMPRODUCT(--(LEFT('7. Settlements'!$J$8:$J$107,7)=$A942),--('7. Settlements'!$M$8:$M$107="Tied out"))+SUMPRODUCT(--(LEFT('8. Transfers'!$H$9:$H$108,7)=$A942),--('8. Transfers'!$J$9:$J$108="Matched"))+SUMPRODUCT(--(LEFT('8. Transfers'!$I$9:$I$108,7)=$A942),--('8. Transfers'!$J$9:$J$108="Matched"))+IF($O942="",0,COUNTIFS('9. Payroll Allocation'!$B$234:$B$253,$O942,'9. Payroll Allocation'!$H$234:$H$253,"Tied out"))&gt;0,"Linked","MISSING DETAIL")))</f>
        <v/>
      </c>
      <c r="T942" s="58" t="str">
        <f t="shared" si="133"/>
        <v/>
      </c>
      <c r="U942" s="59" t="str">
        <f>IF($T942="","",COUNTIF($T$6:$T942,"?*"))</f>
        <v/>
      </c>
      <c r="V942" s="58" t="str">
        <f t="shared" si="134"/>
        <v/>
      </c>
    </row>
    <row r="943" spans="1:22" ht="12.95" customHeight="1" x14ac:dyDescent="0.25">
      <c r="A943" s="60" t="str">
        <f t="shared" si="126"/>
        <v/>
      </c>
      <c r="B943" s="37"/>
      <c r="C943" s="28"/>
      <c r="D943" s="35"/>
      <c r="E943" s="38"/>
      <c r="F943" s="38"/>
      <c r="G943" s="60" t="str">
        <f t="shared" si="127"/>
        <v/>
      </c>
      <c r="H943" s="61" t="str">
        <f t="shared" si="128"/>
        <v/>
      </c>
      <c r="I943" s="40"/>
      <c r="J943" s="62" t="str">
        <f t="shared" si="129"/>
        <v/>
      </c>
      <c r="K943" s="45" t="str">
        <f t="shared" si="130"/>
        <v/>
      </c>
      <c r="L943" s="55"/>
      <c r="M943" s="63">
        <f t="shared" si="131"/>
        <v>0</v>
      </c>
      <c r="N943" s="63">
        <f t="shared" si="132"/>
        <v>0</v>
      </c>
      <c r="O943" s="57"/>
      <c r="P943" s="40"/>
      <c r="Q943" s="60" t="str">
        <f>IF($D943="","",IF($K943&lt;&gt;"Balance Sheet / Clearing","-",IF(SUMPRODUCT(--(LEFT('7. Settlements'!$J$8:$J$107,7)=$A943),--('7. Settlements'!$M$8:$M$107="Tied out"))+SUMPRODUCT(--(LEFT('8. Transfers'!$H$9:$H$108,7)=$A943),--('8. Transfers'!$J$9:$J$108="Matched"))+SUMPRODUCT(--(LEFT('8. Transfers'!$I$9:$I$108,7)=$A943),--('8. Transfers'!$J$9:$J$108="Matched"))+IF($O943="",0,COUNTIFS('9. Payroll Allocation'!$B$234:$B$253,$O943,'9. Payroll Allocation'!$H$234:$H$253,"Tied out"))&gt;0,"Linked","MISSING DETAIL")))</f>
        <v/>
      </c>
      <c r="T943" s="58" t="str">
        <f t="shared" si="133"/>
        <v/>
      </c>
      <c r="U943" s="59" t="str">
        <f>IF($T943="","",COUNTIF($T$6:$T943,"?*"))</f>
        <v/>
      </c>
      <c r="V943" s="58" t="str">
        <f t="shared" si="134"/>
        <v/>
      </c>
    </row>
    <row r="944" spans="1:22" ht="12.95" customHeight="1" x14ac:dyDescent="0.25">
      <c r="A944" s="52" t="str">
        <f t="shared" si="126"/>
        <v/>
      </c>
      <c r="B944" s="37"/>
      <c r="C944" s="28"/>
      <c r="D944" s="35"/>
      <c r="E944" s="38"/>
      <c r="F944" s="38"/>
      <c r="G944" s="52" t="str">
        <f t="shared" si="127"/>
        <v/>
      </c>
      <c r="H944" s="53" t="str">
        <f t="shared" si="128"/>
        <v/>
      </c>
      <c r="I944" s="40"/>
      <c r="J944" s="54" t="str">
        <f t="shared" si="129"/>
        <v/>
      </c>
      <c r="K944" s="41" t="str">
        <f t="shared" si="130"/>
        <v/>
      </c>
      <c r="L944" s="55"/>
      <c r="M944" s="56">
        <f t="shared" si="131"/>
        <v>0</v>
      </c>
      <c r="N944" s="56">
        <f t="shared" si="132"/>
        <v>0</v>
      </c>
      <c r="O944" s="57"/>
      <c r="P944" s="40"/>
      <c r="Q944" s="52" t="str">
        <f>IF($D944="","",IF($K944&lt;&gt;"Balance Sheet / Clearing","-",IF(SUMPRODUCT(--(LEFT('7. Settlements'!$J$8:$J$107,7)=$A944),--('7. Settlements'!$M$8:$M$107="Tied out"))+SUMPRODUCT(--(LEFT('8. Transfers'!$H$9:$H$108,7)=$A944),--('8. Transfers'!$J$9:$J$108="Matched"))+SUMPRODUCT(--(LEFT('8. Transfers'!$I$9:$I$108,7)=$A944),--('8. Transfers'!$J$9:$J$108="Matched"))+IF($O944="",0,COUNTIFS('9. Payroll Allocation'!$B$234:$B$253,$O944,'9. Payroll Allocation'!$H$234:$H$253,"Tied out"))&gt;0,"Linked","MISSING DETAIL")))</f>
        <v/>
      </c>
      <c r="T944" s="58" t="str">
        <f t="shared" si="133"/>
        <v/>
      </c>
      <c r="U944" s="59" t="str">
        <f>IF($T944="","",COUNTIF($T$6:$T944,"?*"))</f>
        <v/>
      </c>
      <c r="V944" s="58" t="str">
        <f t="shared" si="134"/>
        <v/>
      </c>
    </row>
    <row r="945" spans="1:22" ht="12.95" customHeight="1" x14ac:dyDescent="0.25">
      <c r="A945" s="60" t="str">
        <f t="shared" si="126"/>
        <v/>
      </c>
      <c r="B945" s="37"/>
      <c r="C945" s="28"/>
      <c r="D945" s="35"/>
      <c r="E945" s="38"/>
      <c r="F945" s="38"/>
      <c r="G945" s="60" t="str">
        <f t="shared" si="127"/>
        <v/>
      </c>
      <c r="H945" s="61" t="str">
        <f t="shared" si="128"/>
        <v/>
      </c>
      <c r="I945" s="40"/>
      <c r="J945" s="62" t="str">
        <f t="shared" si="129"/>
        <v/>
      </c>
      <c r="K945" s="45" t="str">
        <f t="shared" si="130"/>
        <v/>
      </c>
      <c r="L945" s="55"/>
      <c r="M945" s="63">
        <f t="shared" si="131"/>
        <v>0</v>
      </c>
      <c r="N945" s="63">
        <f t="shared" si="132"/>
        <v>0</v>
      </c>
      <c r="O945" s="57"/>
      <c r="P945" s="40"/>
      <c r="Q945" s="60" t="str">
        <f>IF($D945="","",IF($K945&lt;&gt;"Balance Sheet / Clearing","-",IF(SUMPRODUCT(--(LEFT('7. Settlements'!$J$8:$J$107,7)=$A945),--('7. Settlements'!$M$8:$M$107="Tied out"))+SUMPRODUCT(--(LEFT('8. Transfers'!$H$9:$H$108,7)=$A945),--('8. Transfers'!$J$9:$J$108="Matched"))+SUMPRODUCT(--(LEFT('8. Transfers'!$I$9:$I$108,7)=$A945),--('8. Transfers'!$J$9:$J$108="Matched"))+IF($O945="",0,COUNTIFS('9. Payroll Allocation'!$B$234:$B$253,$O945,'9. Payroll Allocation'!$H$234:$H$253,"Tied out"))&gt;0,"Linked","MISSING DETAIL")))</f>
        <v/>
      </c>
      <c r="T945" s="58" t="str">
        <f t="shared" si="133"/>
        <v/>
      </c>
      <c r="U945" s="59" t="str">
        <f>IF($T945="","",COUNTIF($T$6:$T945,"?*"))</f>
        <v/>
      </c>
      <c r="V945" s="58" t="str">
        <f t="shared" si="134"/>
        <v/>
      </c>
    </row>
    <row r="946" spans="1:22" ht="12.95" customHeight="1" x14ac:dyDescent="0.25">
      <c r="A946" s="52" t="str">
        <f t="shared" si="126"/>
        <v/>
      </c>
      <c r="B946" s="37"/>
      <c r="C946" s="28"/>
      <c r="D946" s="35"/>
      <c r="E946" s="38"/>
      <c r="F946" s="38"/>
      <c r="G946" s="52" t="str">
        <f t="shared" si="127"/>
        <v/>
      </c>
      <c r="H946" s="53" t="str">
        <f t="shared" si="128"/>
        <v/>
      </c>
      <c r="I946" s="40"/>
      <c r="J946" s="54" t="str">
        <f t="shared" si="129"/>
        <v/>
      </c>
      <c r="K946" s="41" t="str">
        <f t="shared" si="130"/>
        <v/>
      </c>
      <c r="L946" s="55"/>
      <c r="M946" s="56">
        <f t="shared" si="131"/>
        <v>0</v>
      </c>
      <c r="N946" s="56">
        <f t="shared" si="132"/>
        <v>0</v>
      </c>
      <c r="O946" s="57"/>
      <c r="P946" s="40"/>
      <c r="Q946" s="52" t="str">
        <f>IF($D946="","",IF($K946&lt;&gt;"Balance Sheet / Clearing","-",IF(SUMPRODUCT(--(LEFT('7. Settlements'!$J$8:$J$107,7)=$A946),--('7. Settlements'!$M$8:$M$107="Tied out"))+SUMPRODUCT(--(LEFT('8. Transfers'!$H$9:$H$108,7)=$A946),--('8. Transfers'!$J$9:$J$108="Matched"))+SUMPRODUCT(--(LEFT('8. Transfers'!$I$9:$I$108,7)=$A946),--('8. Transfers'!$J$9:$J$108="Matched"))+IF($O946="",0,COUNTIFS('9. Payroll Allocation'!$B$234:$B$253,$O946,'9. Payroll Allocation'!$H$234:$H$253,"Tied out"))&gt;0,"Linked","MISSING DETAIL")))</f>
        <v/>
      </c>
      <c r="T946" s="58" t="str">
        <f t="shared" si="133"/>
        <v/>
      </c>
      <c r="U946" s="59" t="str">
        <f>IF($T946="","",COUNTIF($T$6:$T946,"?*"))</f>
        <v/>
      </c>
      <c r="V946" s="58" t="str">
        <f t="shared" si="134"/>
        <v/>
      </c>
    </row>
    <row r="947" spans="1:22" ht="12.95" customHeight="1" x14ac:dyDescent="0.25">
      <c r="A947" s="60" t="str">
        <f t="shared" si="126"/>
        <v/>
      </c>
      <c r="B947" s="37"/>
      <c r="C947" s="28"/>
      <c r="D947" s="35"/>
      <c r="E947" s="38"/>
      <c r="F947" s="38"/>
      <c r="G947" s="60" t="str">
        <f t="shared" si="127"/>
        <v/>
      </c>
      <c r="H947" s="61" t="str">
        <f t="shared" si="128"/>
        <v/>
      </c>
      <c r="I947" s="40"/>
      <c r="J947" s="62" t="str">
        <f t="shared" si="129"/>
        <v/>
      </c>
      <c r="K947" s="45" t="str">
        <f t="shared" si="130"/>
        <v/>
      </c>
      <c r="L947" s="55"/>
      <c r="M947" s="63">
        <f t="shared" si="131"/>
        <v>0</v>
      </c>
      <c r="N947" s="63">
        <f t="shared" si="132"/>
        <v>0</v>
      </c>
      <c r="O947" s="57"/>
      <c r="P947" s="40"/>
      <c r="Q947" s="60" t="str">
        <f>IF($D947="","",IF($K947&lt;&gt;"Balance Sheet / Clearing","-",IF(SUMPRODUCT(--(LEFT('7. Settlements'!$J$8:$J$107,7)=$A947),--('7. Settlements'!$M$8:$M$107="Tied out"))+SUMPRODUCT(--(LEFT('8. Transfers'!$H$9:$H$108,7)=$A947),--('8. Transfers'!$J$9:$J$108="Matched"))+SUMPRODUCT(--(LEFT('8. Transfers'!$I$9:$I$108,7)=$A947),--('8. Transfers'!$J$9:$J$108="Matched"))+IF($O947="",0,COUNTIFS('9. Payroll Allocation'!$B$234:$B$253,$O947,'9. Payroll Allocation'!$H$234:$H$253,"Tied out"))&gt;0,"Linked","MISSING DETAIL")))</f>
        <v/>
      </c>
      <c r="T947" s="58" t="str">
        <f t="shared" si="133"/>
        <v/>
      </c>
      <c r="U947" s="59" t="str">
        <f>IF($T947="","",COUNTIF($T$6:$T947,"?*"))</f>
        <v/>
      </c>
      <c r="V947" s="58" t="str">
        <f t="shared" si="134"/>
        <v/>
      </c>
    </row>
    <row r="948" spans="1:22" ht="12.95" customHeight="1" x14ac:dyDescent="0.25">
      <c r="A948" s="52" t="str">
        <f t="shared" si="126"/>
        <v/>
      </c>
      <c r="B948" s="37"/>
      <c r="C948" s="28"/>
      <c r="D948" s="35"/>
      <c r="E948" s="38"/>
      <c r="F948" s="38"/>
      <c r="G948" s="52" t="str">
        <f t="shared" si="127"/>
        <v/>
      </c>
      <c r="H948" s="53" t="str">
        <f t="shared" si="128"/>
        <v/>
      </c>
      <c r="I948" s="40"/>
      <c r="J948" s="54" t="str">
        <f t="shared" si="129"/>
        <v/>
      </c>
      <c r="K948" s="41" t="str">
        <f t="shared" si="130"/>
        <v/>
      </c>
      <c r="L948" s="55"/>
      <c r="M948" s="56">
        <f t="shared" si="131"/>
        <v>0</v>
      </c>
      <c r="N948" s="56">
        <f t="shared" si="132"/>
        <v>0</v>
      </c>
      <c r="O948" s="57"/>
      <c r="P948" s="40"/>
      <c r="Q948" s="52" t="str">
        <f>IF($D948="","",IF($K948&lt;&gt;"Balance Sheet / Clearing","-",IF(SUMPRODUCT(--(LEFT('7. Settlements'!$J$8:$J$107,7)=$A948),--('7. Settlements'!$M$8:$M$107="Tied out"))+SUMPRODUCT(--(LEFT('8. Transfers'!$H$9:$H$108,7)=$A948),--('8. Transfers'!$J$9:$J$108="Matched"))+SUMPRODUCT(--(LEFT('8. Transfers'!$I$9:$I$108,7)=$A948),--('8. Transfers'!$J$9:$J$108="Matched"))+IF($O948="",0,COUNTIFS('9. Payroll Allocation'!$B$234:$B$253,$O948,'9. Payroll Allocation'!$H$234:$H$253,"Tied out"))&gt;0,"Linked","MISSING DETAIL")))</f>
        <v/>
      </c>
      <c r="T948" s="58" t="str">
        <f t="shared" si="133"/>
        <v/>
      </c>
      <c r="U948" s="59" t="str">
        <f>IF($T948="","",COUNTIF($T$6:$T948,"?*"))</f>
        <v/>
      </c>
      <c r="V948" s="58" t="str">
        <f t="shared" si="134"/>
        <v/>
      </c>
    </row>
    <row r="949" spans="1:22" ht="12.95" customHeight="1" x14ac:dyDescent="0.25">
      <c r="A949" s="60" t="str">
        <f t="shared" si="126"/>
        <v/>
      </c>
      <c r="B949" s="37"/>
      <c r="C949" s="28"/>
      <c r="D949" s="35"/>
      <c r="E949" s="38"/>
      <c r="F949" s="38"/>
      <c r="G949" s="60" t="str">
        <f t="shared" si="127"/>
        <v/>
      </c>
      <c r="H949" s="61" t="str">
        <f t="shared" si="128"/>
        <v/>
      </c>
      <c r="I949" s="40"/>
      <c r="J949" s="62" t="str">
        <f t="shared" si="129"/>
        <v/>
      </c>
      <c r="K949" s="45" t="str">
        <f t="shared" si="130"/>
        <v/>
      </c>
      <c r="L949" s="55"/>
      <c r="M949" s="63">
        <f t="shared" si="131"/>
        <v>0</v>
      </c>
      <c r="N949" s="63">
        <f t="shared" si="132"/>
        <v>0</v>
      </c>
      <c r="O949" s="57"/>
      <c r="P949" s="40"/>
      <c r="Q949" s="60" t="str">
        <f>IF($D949="","",IF($K949&lt;&gt;"Balance Sheet / Clearing","-",IF(SUMPRODUCT(--(LEFT('7. Settlements'!$J$8:$J$107,7)=$A949),--('7. Settlements'!$M$8:$M$107="Tied out"))+SUMPRODUCT(--(LEFT('8. Transfers'!$H$9:$H$108,7)=$A949),--('8. Transfers'!$J$9:$J$108="Matched"))+SUMPRODUCT(--(LEFT('8. Transfers'!$I$9:$I$108,7)=$A949),--('8. Transfers'!$J$9:$J$108="Matched"))+IF($O949="",0,COUNTIFS('9. Payroll Allocation'!$B$234:$B$253,$O949,'9. Payroll Allocation'!$H$234:$H$253,"Tied out"))&gt;0,"Linked","MISSING DETAIL")))</f>
        <v/>
      </c>
      <c r="T949" s="58" t="str">
        <f t="shared" si="133"/>
        <v/>
      </c>
      <c r="U949" s="59" t="str">
        <f>IF($T949="","",COUNTIF($T$6:$T949,"?*"))</f>
        <v/>
      </c>
      <c r="V949" s="58" t="str">
        <f t="shared" si="134"/>
        <v/>
      </c>
    </row>
    <row r="950" spans="1:22" ht="12.95" customHeight="1" x14ac:dyDescent="0.25">
      <c r="A950" s="52" t="str">
        <f t="shared" si="126"/>
        <v/>
      </c>
      <c r="B950" s="37"/>
      <c r="C950" s="28"/>
      <c r="D950" s="35"/>
      <c r="E950" s="38"/>
      <c r="F950" s="38"/>
      <c r="G950" s="52" t="str">
        <f t="shared" si="127"/>
        <v/>
      </c>
      <c r="H950" s="53" t="str">
        <f t="shared" si="128"/>
        <v/>
      </c>
      <c r="I950" s="40"/>
      <c r="J950" s="54" t="str">
        <f t="shared" si="129"/>
        <v/>
      </c>
      <c r="K950" s="41" t="str">
        <f t="shared" si="130"/>
        <v/>
      </c>
      <c r="L950" s="55"/>
      <c r="M950" s="56">
        <f t="shared" si="131"/>
        <v>0</v>
      </c>
      <c r="N950" s="56">
        <f t="shared" si="132"/>
        <v>0</v>
      </c>
      <c r="O950" s="57"/>
      <c r="P950" s="40"/>
      <c r="Q950" s="52" t="str">
        <f>IF($D950="","",IF($K950&lt;&gt;"Balance Sheet / Clearing","-",IF(SUMPRODUCT(--(LEFT('7. Settlements'!$J$8:$J$107,7)=$A950),--('7. Settlements'!$M$8:$M$107="Tied out"))+SUMPRODUCT(--(LEFT('8. Transfers'!$H$9:$H$108,7)=$A950),--('8. Transfers'!$J$9:$J$108="Matched"))+SUMPRODUCT(--(LEFT('8. Transfers'!$I$9:$I$108,7)=$A950),--('8. Transfers'!$J$9:$J$108="Matched"))+IF($O950="",0,COUNTIFS('9. Payroll Allocation'!$B$234:$B$253,$O950,'9. Payroll Allocation'!$H$234:$H$253,"Tied out"))&gt;0,"Linked","MISSING DETAIL")))</f>
        <v/>
      </c>
      <c r="T950" s="58" t="str">
        <f t="shared" si="133"/>
        <v/>
      </c>
      <c r="U950" s="59" t="str">
        <f>IF($T950="","",COUNTIF($T$6:$T950,"?*"))</f>
        <v/>
      </c>
      <c r="V950" s="58" t="str">
        <f t="shared" si="134"/>
        <v/>
      </c>
    </row>
    <row r="951" spans="1:22" ht="12.95" customHeight="1" x14ac:dyDescent="0.25">
      <c r="A951" s="60" t="str">
        <f t="shared" si="126"/>
        <v/>
      </c>
      <c r="B951" s="37"/>
      <c r="C951" s="28"/>
      <c r="D951" s="35"/>
      <c r="E951" s="38"/>
      <c r="F951" s="38"/>
      <c r="G951" s="60" t="str">
        <f t="shared" si="127"/>
        <v/>
      </c>
      <c r="H951" s="61" t="str">
        <f t="shared" si="128"/>
        <v/>
      </c>
      <c r="I951" s="40"/>
      <c r="J951" s="62" t="str">
        <f t="shared" si="129"/>
        <v/>
      </c>
      <c r="K951" s="45" t="str">
        <f t="shared" si="130"/>
        <v/>
      </c>
      <c r="L951" s="55"/>
      <c r="M951" s="63">
        <f t="shared" si="131"/>
        <v>0</v>
      </c>
      <c r="N951" s="63">
        <f t="shared" si="132"/>
        <v>0</v>
      </c>
      <c r="O951" s="57"/>
      <c r="P951" s="40"/>
      <c r="Q951" s="60" t="str">
        <f>IF($D951="","",IF($K951&lt;&gt;"Balance Sheet / Clearing","-",IF(SUMPRODUCT(--(LEFT('7. Settlements'!$J$8:$J$107,7)=$A951),--('7. Settlements'!$M$8:$M$107="Tied out"))+SUMPRODUCT(--(LEFT('8. Transfers'!$H$9:$H$108,7)=$A951),--('8. Transfers'!$J$9:$J$108="Matched"))+SUMPRODUCT(--(LEFT('8. Transfers'!$I$9:$I$108,7)=$A951),--('8. Transfers'!$J$9:$J$108="Matched"))+IF($O951="",0,COUNTIFS('9. Payroll Allocation'!$B$234:$B$253,$O951,'9. Payroll Allocation'!$H$234:$H$253,"Tied out"))&gt;0,"Linked","MISSING DETAIL")))</f>
        <v/>
      </c>
      <c r="T951" s="58" t="str">
        <f t="shared" si="133"/>
        <v/>
      </c>
      <c r="U951" s="59" t="str">
        <f>IF($T951="","",COUNTIF($T$6:$T951,"?*"))</f>
        <v/>
      </c>
      <c r="V951" s="58" t="str">
        <f t="shared" si="134"/>
        <v/>
      </c>
    </row>
    <row r="952" spans="1:22" ht="12.95" customHeight="1" x14ac:dyDescent="0.25">
      <c r="A952" s="52" t="str">
        <f t="shared" si="126"/>
        <v/>
      </c>
      <c r="B952" s="37"/>
      <c r="C952" s="28"/>
      <c r="D952" s="35"/>
      <c r="E952" s="38"/>
      <c r="F952" s="38"/>
      <c r="G952" s="52" t="str">
        <f t="shared" si="127"/>
        <v/>
      </c>
      <c r="H952" s="53" t="str">
        <f t="shared" si="128"/>
        <v/>
      </c>
      <c r="I952" s="40"/>
      <c r="J952" s="54" t="str">
        <f t="shared" si="129"/>
        <v/>
      </c>
      <c r="K952" s="41" t="str">
        <f t="shared" si="130"/>
        <v/>
      </c>
      <c r="L952" s="55"/>
      <c r="M952" s="56">
        <f t="shared" si="131"/>
        <v>0</v>
      </c>
      <c r="N952" s="56">
        <f t="shared" si="132"/>
        <v>0</v>
      </c>
      <c r="O952" s="57"/>
      <c r="P952" s="40"/>
      <c r="Q952" s="52" t="str">
        <f>IF($D952="","",IF($K952&lt;&gt;"Balance Sheet / Clearing","-",IF(SUMPRODUCT(--(LEFT('7. Settlements'!$J$8:$J$107,7)=$A952),--('7. Settlements'!$M$8:$M$107="Tied out"))+SUMPRODUCT(--(LEFT('8. Transfers'!$H$9:$H$108,7)=$A952),--('8. Transfers'!$J$9:$J$108="Matched"))+SUMPRODUCT(--(LEFT('8. Transfers'!$I$9:$I$108,7)=$A952),--('8. Transfers'!$J$9:$J$108="Matched"))+IF($O952="",0,COUNTIFS('9. Payroll Allocation'!$B$234:$B$253,$O952,'9. Payroll Allocation'!$H$234:$H$253,"Tied out"))&gt;0,"Linked","MISSING DETAIL")))</f>
        <v/>
      </c>
      <c r="T952" s="58" t="str">
        <f t="shared" si="133"/>
        <v/>
      </c>
      <c r="U952" s="59" t="str">
        <f>IF($T952="","",COUNTIF($T$6:$T952,"?*"))</f>
        <v/>
      </c>
      <c r="V952" s="58" t="str">
        <f t="shared" si="134"/>
        <v/>
      </c>
    </row>
    <row r="953" spans="1:22" ht="12.95" customHeight="1" x14ac:dyDescent="0.25">
      <c r="A953" s="60" t="str">
        <f t="shared" si="126"/>
        <v/>
      </c>
      <c r="B953" s="37"/>
      <c r="C953" s="28"/>
      <c r="D953" s="35"/>
      <c r="E953" s="38"/>
      <c r="F953" s="38"/>
      <c r="G953" s="60" t="str">
        <f t="shared" si="127"/>
        <v/>
      </c>
      <c r="H953" s="61" t="str">
        <f t="shared" si="128"/>
        <v/>
      </c>
      <c r="I953" s="40"/>
      <c r="J953" s="62" t="str">
        <f t="shared" si="129"/>
        <v/>
      </c>
      <c r="K953" s="45" t="str">
        <f t="shared" si="130"/>
        <v/>
      </c>
      <c r="L953" s="55"/>
      <c r="M953" s="63">
        <f t="shared" si="131"/>
        <v>0</v>
      </c>
      <c r="N953" s="63">
        <f t="shared" si="132"/>
        <v>0</v>
      </c>
      <c r="O953" s="57"/>
      <c r="P953" s="40"/>
      <c r="Q953" s="60" t="str">
        <f>IF($D953="","",IF($K953&lt;&gt;"Balance Sheet / Clearing","-",IF(SUMPRODUCT(--(LEFT('7. Settlements'!$J$8:$J$107,7)=$A953),--('7. Settlements'!$M$8:$M$107="Tied out"))+SUMPRODUCT(--(LEFT('8. Transfers'!$H$9:$H$108,7)=$A953),--('8. Transfers'!$J$9:$J$108="Matched"))+SUMPRODUCT(--(LEFT('8. Transfers'!$I$9:$I$108,7)=$A953),--('8. Transfers'!$J$9:$J$108="Matched"))+IF($O953="",0,COUNTIFS('9. Payroll Allocation'!$B$234:$B$253,$O953,'9. Payroll Allocation'!$H$234:$H$253,"Tied out"))&gt;0,"Linked","MISSING DETAIL")))</f>
        <v/>
      </c>
      <c r="T953" s="58" t="str">
        <f t="shared" si="133"/>
        <v/>
      </c>
      <c r="U953" s="59" t="str">
        <f>IF($T953="","",COUNTIF($T$6:$T953,"?*"))</f>
        <v/>
      </c>
      <c r="V953" s="58" t="str">
        <f t="shared" si="134"/>
        <v/>
      </c>
    </row>
    <row r="954" spans="1:22" ht="12.95" customHeight="1" x14ac:dyDescent="0.25">
      <c r="A954" s="52" t="str">
        <f t="shared" si="126"/>
        <v/>
      </c>
      <c r="B954" s="37"/>
      <c r="C954" s="28"/>
      <c r="D954" s="35"/>
      <c r="E954" s="38"/>
      <c r="F954" s="38"/>
      <c r="G954" s="52" t="str">
        <f t="shared" si="127"/>
        <v/>
      </c>
      <c r="H954" s="53" t="str">
        <f t="shared" si="128"/>
        <v/>
      </c>
      <c r="I954" s="40"/>
      <c r="J954" s="54" t="str">
        <f t="shared" si="129"/>
        <v/>
      </c>
      <c r="K954" s="41" t="str">
        <f t="shared" si="130"/>
        <v/>
      </c>
      <c r="L954" s="55"/>
      <c r="M954" s="56">
        <f t="shared" si="131"/>
        <v>0</v>
      </c>
      <c r="N954" s="56">
        <f t="shared" si="132"/>
        <v>0</v>
      </c>
      <c r="O954" s="57"/>
      <c r="P954" s="40"/>
      <c r="Q954" s="52" t="str">
        <f>IF($D954="","",IF($K954&lt;&gt;"Balance Sheet / Clearing","-",IF(SUMPRODUCT(--(LEFT('7. Settlements'!$J$8:$J$107,7)=$A954),--('7. Settlements'!$M$8:$M$107="Tied out"))+SUMPRODUCT(--(LEFT('8. Transfers'!$H$9:$H$108,7)=$A954),--('8. Transfers'!$J$9:$J$108="Matched"))+SUMPRODUCT(--(LEFT('8. Transfers'!$I$9:$I$108,7)=$A954),--('8. Transfers'!$J$9:$J$108="Matched"))+IF($O954="",0,COUNTIFS('9. Payroll Allocation'!$B$234:$B$253,$O954,'9. Payroll Allocation'!$H$234:$H$253,"Tied out"))&gt;0,"Linked","MISSING DETAIL")))</f>
        <v/>
      </c>
      <c r="T954" s="58" t="str">
        <f t="shared" si="133"/>
        <v/>
      </c>
      <c r="U954" s="59" t="str">
        <f>IF($T954="","",COUNTIF($T$6:$T954,"?*"))</f>
        <v/>
      </c>
      <c r="V954" s="58" t="str">
        <f t="shared" si="134"/>
        <v/>
      </c>
    </row>
    <row r="955" spans="1:22" ht="12.95" customHeight="1" x14ac:dyDescent="0.25">
      <c r="A955" s="60" t="str">
        <f t="shared" si="126"/>
        <v/>
      </c>
      <c r="B955" s="37"/>
      <c r="C955" s="28"/>
      <c r="D955" s="35"/>
      <c r="E955" s="38"/>
      <c r="F955" s="38"/>
      <c r="G955" s="60" t="str">
        <f t="shared" si="127"/>
        <v/>
      </c>
      <c r="H955" s="61" t="str">
        <f t="shared" si="128"/>
        <v/>
      </c>
      <c r="I955" s="40"/>
      <c r="J955" s="62" t="str">
        <f t="shared" si="129"/>
        <v/>
      </c>
      <c r="K955" s="45" t="str">
        <f t="shared" si="130"/>
        <v/>
      </c>
      <c r="L955" s="55"/>
      <c r="M955" s="63">
        <f t="shared" si="131"/>
        <v>0</v>
      </c>
      <c r="N955" s="63">
        <f t="shared" si="132"/>
        <v>0</v>
      </c>
      <c r="O955" s="57"/>
      <c r="P955" s="40"/>
      <c r="Q955" s="60" t="str">
        <f>IF($D955="","",IF($K955&lt;&gt;"Balance Sheet / Clearing","-",IF(SUMPRODUCT(--(LEFT('7. Settlements'!$J$8:$J$107,7)=$A955),--('7. Settlements'!$M$8:$M$107="Tied out"))+SUMPRODUCT(--(LEFT('8. Transfers'!$H$9:$H$108,7)=$A955),--('8. Transfers'!$J$9:$J$108="Matched"))+SUMPRODUCT(--(LEFT('8. Transfers'!$I$9:$I$108,7)=$A955),--('8. Transfers'!$J$9:$J$108="Matched"))+IF($O955="",0,COUNTIFS('9. Payroll Allocation'!$B$234:$B$253,$O955,'9. Payroll Allocation'!$H$234:$H$253,"Tied out"))&gt;0,"Linked","MISSING DETAIL")))</f>
        <v/>
      </c>
      <c r="T955" s="58" t="str">
        <f t="shared" si="133"/>
        <v/>
      </c>
      <c r="U955" s="59" t="str">
        <f>IF($T955="","",COUNTIF($T$6:$T955,"?*"))</f>
        <v/>
      </c>
      <c r="V955" s="58" t="str">
        <f t="shared" si="134"/>
        <v/>
      </c>
    </row>
    <row r="956" spans="1:22" ht="12.95" customHeight="1" x14ac:dyDescent="0.25">
      <c r="A956" s="52" t="str">
        <f t="shared" si="126"/>
        <v/>
      </c>
      <c r="B956" s="37"/>
      <c r="C956" s="28"/>
      <c r="D956" s="35"/>
      <c r="E956" s="38"/>
      <c r="F956" s="38"/>
      <c r="G956" s="52" t="str">
        <f t="shared" si="127"/>
        <v/>
      </c>
      <c r="H956" s="53" t="str">
        <f t="shared" si="128"/>
        <v/>
      </c>
      <c r="I956" s="40"/>
      <c r="J956" s="54" t="str">
        <f t="shared" si="129"/>
        <v/>
      </c>
      <c r="K956" s="41" t="str">
        <f t="shared" si="130"/>
        <v/>
      </c>
      <c r="L956" s="55"/>
      <c r="M956" s="56">
        <f t="shared" si="131"/>
        <v>0</v>
      </c>
      <c r="N956" s="56">
        <f t="shared" si="132"/>
        <v>0</v>
      </c>
      <c r="O956" s="57"/>
      <c r="P956" s="40"/>
      <c r="Q956" s="52" t="str">
        <f>IF($D956="","",IF($K956&lt;&gt;"Balance Sheet / Clearing","-",IF(SUMPRODUCT(--(LEFT('7. Settlements'!$J$8:$J$107,7)=$A956),--('7. Settlements'!$M$8:$M$107="Tied out"))+SUMPRODUCT(--(LEFT('8. Transfers'!$H$9:$H$108,7)=$A956),--('8. Transfers'!$J$9:$J$108="Matched"))+SUMPRODUCT(--(LEFT('8. Transfers'!$I$9:$I$108,7)=$A956),--('8. Transfers'!$J$9:$J$108="Matched"))+IF($O956="",0,COUNTIFS('9. Payroll Allocation'!$B$234:$B$253,$O956,'9. Payroll Allocation'!$H$234:$H$253,"Tied out"))&gt;0,"Linked","MISSING DETAIL")))</f>
        <v/>
      </c>
      <c r="T956" s="58" t="str">
        <f t="shared" si="133"/>
        <v/>
      </c>
      <c r="U956" s="59" t="str">
        <f>IF($T956="","",COUNTIF($T$6:$T956,"?*"))</f>
        <v/>
      </c>
      <c r="V956" s="58" t="str">
        <f t="shared" si="134"/>
        <v/>
      </c>
    </row>
    <row r="957" spans="1:22" ht="12.95" customHeight="1" x14ac:dyDescent="0.25">
      <c r="A957" s="60" t="str">
        <f t="shared" si="126"/>
        <v/>
      </c>
      <c r="B957" s="37"/>
      <c r="C957" s="28"/>
      <c r="D957" s="35"/>
      <c r="E957" s="38"/>
      <c r="F957" s="38"/>
      <c r="G957" s="60" t="str">
        <f t="shared" si="127"/>
        <v/>
      </c>
      <c r="H957" s="61" t="str">
        <f t="shared" si="128"/>
        <v/>
      </c>
      <c r="I957" s="40"/>
      <c r="J957" s="62" t="str">
        <f t="shared" si="129"/>
        <v/>
      </c>
      <c r="K957" s="45" t="str">
        <f t="shared" si="130"/>
        <v/>
      </c>
      <c r="L957" s="55"/>
      <c r="M957" s="63">
        <f t="shared" si="131"/>
        <v>0</v>
      </c>
      <c r="N957" s="63">
        <f t="shared" si="132"/>
        <v>0</v>
      </c>
      <c r="O957" s="57"/>
      <c r="P957" s="40"/>
      <c r="Q957" s="60" t="str">
        <f>IF($D957="","",IF($K957&lt;&gt;"Balance Sheet / Clearing","-",IF(SUMPRODUCT(--(LEFT('7. Settlements'!$J$8:$J$107,7)=$A957),--('7. Settlements'!$M$8:$M$107="Tied out"))+SUMPRODUCT(--(LEFT('8. Transfers'!$H$9:$H$108,7)=$A957),--('8. Transfers'!$J$9:$J$108="Matched"))+SUMPRODUCT(--(LEFT('8. Transfers'!$I$9:$I$108,7)=$A957),--('8. Transfers'!$J$9:$J$108="Matched"))+IF($O957="",0,COUNTIFS('9. Payroll Allocation'!$B$234:$B$253,$O957,'9. Payroll Allocation'!$H$234:$H$253,"Tied out"))&gt;0,"Linked","MISSING DETAIL")))</f>
        <v/>
      </c>
      <c r="T957" s="58" t="str">
        <f t="shared" si="133"/>
        <v/>
      </c>
      <c r="U957" s="59" t="str">
        <f>IF($T957="","",COUNTIF($T$6:$T957,"?*"))</f>
        <v/>
      </c>
      <c r="V957" s="58" t="str">
        <f t="shared" si="134"/>
        <v/>
      </c>
    </row>
    <row r="958" spans="1:22" ht="12.95" customHeight="1" x14ac:dyDescent="0.25">
      <c r="A958" s="52" t="str">
        <f t="shared" si="126"/>
        <v/>
      </c>
      <c r="B958" s="37"/>
      <c r="C958" s="28"/>
      <c r="D958" s="35"/>
      <c r="E958" s="38"/>
      <c r="F958" s="38"/>
      <c r="G958" s="52" t="str">
        <f t="shared" si="127"/>
        <v/>
      </c>
      <c r="H958" s="53" t="str">
        <f t="shared" si="128"/>
        <v/>
      </c>
      <c r="I958" s="40"/>
      <c r="J958" s="54" t="str">
        <f t="shared" si="129"/>
        <v/>
      </c>
      <c r="K958" s="41" t="str">
        <f t="shared" si="130"/>
        <v/>
      </c>
      <c r="L958" s="55"/>
      <c r="M958" s="56">
        <f t="shared" si="131"/>
        <v>0</v>
      </c>
      <c r="N958" s="56">
        <f t="shared" si="132"/>
        <v>0</v>
      </c>
      <c r="O958" s="57"/>
      <c r="P958" s="40"/>
      <c r="Q958" s="52" t="str">
        <f>IF($D958="","",IF($K958&lt;&gt;"Balance Sheet / Clearing","-",IF(SUMPRODUCT(--(LEFT('7. Settlements'!$J$8:$J$107,7)=$A958),--('7. Settlements'!$M$8:$M$107="Tied out"))+SUMPRODUCT(--(LEFT('8. Transfers'!$H$9:$H$108,7)=$A958),--('8. Transfers'!$J$9:$J$108="Matched"))+SUMPRODUCT(--(LEFT('8. Transfers'!$I$9:$I$108,7)=$A958),--('8. Transfers'!$J$9:$J$108="Matched"))+IF($O958="",0,COUNTIFS('9. Payroll Allocation'!$B$234:$B$253,$O958,'9. Payroll Allocation'!$H$234:$H$253,"Tied out"))&gt;0,"Linked","MISSING DETAIL")))</f>
        <v/>
      </c>
      <c r="T958" s="58" t="str">
        <f t="shared" si="133"/>
        <v/>
      </c>
      <c r="U958" s="59" t="str">
        <f>IF($T958="","",COUNTIF($T$6:$T958,"?*"))</f>
        <v/>
      </c>
      <c r="V958" s="58" t="str">
        <f t="shared" si="134"/>
        <v/>
      </c>
    </row>
    <row r="959" spans="1:22" ht="12.95" customHeight="1" x14ac:dyDescent="0.25">
      <c r="A959" s="60" t="str">
        <f t="shared" si="126"/>
        <v/>
      </c>
      <c r="B959" s="37"/>
      <c r="C959" s="28"/>
      <c r="D959" s="35"/>
      <c r="E959" s="38"/>
      <c r="F959" s="38"/>
      <c r="G959" s="60" t="str">
        <f t="shared" si="127"/>
        <v/>
      </c>
      <c r="H959" s="61" t="str">
        <f t="shared" si="128"/>
        <v/>
      </c>
      <c r="I959" s="40"/>
      <c r="J959" s="62" t="str">
        <f t="shared" si="129"/>
        <v/>
      </c>
      <c r="K959" s="45" t="str">
        <f t="shared" si="130"/>
        <v/>
      </c>
      <c r="L959" s="55"/>
      <c r="M959" s="63">
        <f t="shared" si="131"/>
        <v>0</v>
      </c>
      <c r="N959" s="63">
        <f t="shared" si="132"/>
        <v>0</v>
      </c>
      <c r="O959" s="57"/>
      <c r="P959" s="40"/>
      <c r="Q959" s="60" t="str">
        <f>IF($D959="","",IF($K959&lt;&gt;"Balance Sheet / Clearing","-",IF(SUMPRODUCT(--(LEFT('7. Settlements'!$J$8:$J$107,7)=$A959),--('7. Settlements'!$M$8:$M$107="Tied out"))+SUMPRODUCT(--(LEFT('8. Transfers'!$H$9:$H$108,7)=$A959),--('8. Transfers'!$J$9:$J$108="Matched"))+SUMPRODUCT(--(LEFT('8. Transfers'!$I$9:$I$108,7)=$A959),--('8. Transfers'!$J$9:$J$108="Matched"))+IF($O959="",0,COUNTIFS('9. Payroll Allocation'!$B$234:$B$253,$O959,'9. Payroll Allocation'!$H$234:$H$253,"Tied out"))&gt;0,"Linked","MISSING DETAIL")))</f>
        <v/>
      </c>
      <c r="T959" s="58" t="str">
        <f t="shared" si="133"/>
        <v/>
      </c>
      <c r="U959" s="59" t="str">
        <f>IF($T959="","",COUNTIF($T$6:$T959,"?*"))</f>
        <v/>
      </c>
      <c r="V959" s="58" t="str">
        <f t="shared" si="134"/>
        <v/>
      </c>
    </row>
    <row r="960" spans="1:22" ht="12.95" customHeight="1" x14ac:dyDescent="0.25">
      <c r="A960" s="52" t="str">
        <f t="shared" si="126"/>
        <v/>
      </c>
      <c r="B960" s="37"/>
      <c r="C960" s="28"/>
      <c r="D960" s="35"/>
      <c r="E960" s="38"/>
      <c r="F960" s="38"/>
      <c r="G960" s="52" t="str">
        <f t="shared" si="127"/>
        <v/>
      </c>
      <c r="H960" s="53" t="str">
        <f t="shared" si="128"/>
        <v/>
      </c>
      <c r="I960" s="40"/>
      <c r="J960" s="54" t="str">
        <f t="shared" si="129"/>
        <v/>
      </c>
      <c r="K960" s="41" t="str">
        <f t="shared" si="130"/>
        <v/>
      </c>
      <c r="L960" s="55"/>
      <c r="M960" s="56">
        <f t="shared" si="131"/>
        <v>0</v>
      </c>
      <c r="N960" s="56">
        <f t="shared" si="132"/>
        <v>0</v>
      </c>
      <c r="O960" s="57"/>
      <c r="P960" s="40"/>
      <c r="Q960" s="52" t="str">
        <f>IF($D960="","",IF($K960&lt;&gt;"Balance Sheet / Clearing","-",IF(SUMPRODUCT(--(LEFT('7. Settlements'!$J$8:$J$107,7)=$A960),--('7. Settlements'!$M$8:$M$107="Tied out"))+SUMPRODUCT(--(LEFT('8. Transfers'!$H$9:$H$108,7)=$A960),--('8. Transfers'!$J$9:$J$108="Matched"))+SUMPRODUCT(--(LEFT('8. Transfers'!$I$9:$I$108,7)=$A960),--('8. Transfers'!$J$9:$J$108="Matched"))+IF($O960="",0,COUNTIFS('9. Payroll Allocation'!$B$234:$B$253,$O960,'9. Payroll Allocation'!$H$234:$H$253,"Tied out"))&gt;0,"Linked","MISSING DETAIL")))</f>
        <v/>
      </c>
      <c r="T960" s="58" t="str">
        <f t="shared" si="133"/>
        <v/>
      </c>
      <c r="U960" s="59" t="str">
        <f>IF($T960="","",COUNTIF($T$6:$T960,"?*"))</f>
        <v/>
      </c>
      <c r="V960" s="58" t="str">
        <f t="shared" si="134"/>
        <v/>
      </c>
    </row>
    <row r="961" spans="1:22" ht="12.95" customHeight="1" x14ac:dyDescent="0.25">
      <c r="A961" s="60" t="str">
        <f t="shared" si="126"/>
        <v/>
      </c>
      <c r="B961" s="37"/>
      <c r="C961" s="28"/>
      <c r="D961" s="35"/>
      <c r="E961" s="38"/>
      <c r="F961" s="38"/>
      <c r="G961" s="60" t="str">
        <f t="shared" si="127"/>
        <v/>
      </c>
      <c r="H961" s="61" t="str">
        <f t="shared" si="128"/>
        <v/>
      </c>
      <c r="I961" s="40"/>
      <c r="J961" s="62" t="str">
        <f t="shared" si="129"/>
        <v/>
      </c>
      <c r="K961" s="45" t="str">
        <f t="shared" si="130"/>
        <v/>
      </c>
      <c r="L961" s="55"/>
      <c r="M961" s="63">
        <f t="shared" si="131"/>
        <v>0</v>
      </c>
      <c r="N961" s="63">
        <f t="shared" si="132"/>
        <v>0</v>
      </c>
      <c r="O961" s="57"/>
      <c r="P961" s="40"/>
      <c r="Q961" s="60" t="str">
        <f>IF($D961="","",IF($K961&lt;&gt;"Balance Sheet / Clearing","-",IF(SUMPRODUCT(--(LEFT('7. Settlements'!$J$8:$J$107,7)=$A961),--('7. Settlements'!$M$8:$M$107="Tied out"))+SUMPRODUCT(--(LEFT('8. Transfers'!$H$9:$H$108,7)=$A961),--('8. Transfers'!$J$9:$J$108="Matched"))+SUMPRODUCT(--(LEFT('8. Transfers'!$I$9:$I$108,7)=$A961),--('8. Transfers'!$J$9:$J$108="Matched"))+IF($O961="",0,COUNTIFS('9. Payroll Allocation'!$B$234:$B$253,$O961,'9. Payroll Allocation'!$H$234:$H$253,"Tied out"))&gt;0,"Linked","MISSING DETAIL")))</f>
        <v/>
      </c>
      <c r="T961" s="58" t="str">
        <f t="shared" si="133"/>
        <v/>
      </c>
      <c r="U961" s="59" t="str">
        <f>IF($T961="","",COUNTIF($T$6:$T961,"?*"))</f>
        <v/>
      </c>
      <c r="V961" s="58" t="str">
        <f t="shared" si="134"/>
        <v/>
      </c>
    </row>
    <row r="962" spans="1:22" ht="12.95" customHeight="1" x14ac:dyDescent="0.25">
      <c r="A962" s="52" t="str">
        <f t="shared" si="126"/>
        <v/>
      </c>
      <c r="B962" s="37"/>
      <c r="C962" s="28"/>
      <c r="D962" s="35"/>
      <c r="E962" s="38"/>
      <c r="F962" s="38"/>
      <c r="G962" s="52" t="str">
        <f t="shared" si="127"/>
        <v/>
      </c>
      <c r="H962" s="53" t="str">
        <f t="shared" si="128"/>
        <v/>
      </c>
      <c r="I962" s="40"/>
      <c r="J962" s="54" t="str">
        <f t="shared" si="129"/>
        <v/>
      </c>
      <c r="K962" s="41" t="str">
        <f t="shared" si="130"/>
        <v/>
      </c>
      <c r="L962" s="55"/>
      <c r="M962" s="56">
        <f t="shared" si="131"/>
        <v>0</v>
      </c>
      <c r="N962" s="56">
        <f t="shared" si="132"/>
        <v>0</v>
      </c>
      <c r="O962" s="57"/>
      <c r="P962" s="40"/>
      <c r="Q962" s="52" t="str">
        <f>IF($D962="","",IF($K962&lt;&gt;"Balance Sheet / Clearing","-",IF(SUMPRODUCT(--(LEFT('7. Settlements'!$J$8:$J$107,7)=$A962),--('7. Settlements'!$M$8:$M$107="Tied out"))+SUMPRODUCT(--(LEFT('8. Transfers'!$H$9:$H$108,7)=$A962),--('8. Transfers'!$J$9:$J$108="Matched"))+SUMPRODUCT(--(LEFT('8. Transfers'!$I$9:$I$108,7)=$A962),--('8. Transfers'!$J$9:$J$108="Matched"))+IF($O962="",0,COUNTIFS('9. Payroll Allocation'!$B$234:$B$253,$O962,'9. Payroll Allocation'!$H$234:$H$253,"Tied out"))&gt;0,"Linked","MISSING DETAIL")))</f>
        <v/>
      </c>
      <c r="T962" s="58" t="str">
        <f t="shared" si="133"/>
        <v/>
      </c>
      <c r="U962" s="59" t="str">
        <f>IF($T962="","",COUNTIF($T$6:$T962,"?*"))</f>
        <v/>
      </c>
      <c r="V962" s="58" t="str">
        <f t="shared" si="134"/>
        <v/>
      </c>
    </row>
    <row r="963" spans="1:22" ht="12.95" customHeight="1" x14ac:dyDescent="0.25">
      <c r="A963" s="60" t="str">
        <f t="shared" si="126"/>
        <v/>
      </c>
      <c r="B963" s="37"/>
      <c r="C963" s="28"/>
      <c r="D963" s="35"/>
      <c r="E963" s="38"/>
      <c r="F963" s="38"/>
      <c r="G963" s="60" t="str">
        <f t="shared" si="127"/>
        <v/>
      </c>
      <c r="H963" s="61" t="str">
        <f t="shared" si="128"/>
        <v/>
      </c>
      <c r="I963" s="40"/>
      <c r="J963" s="62" t="str">
        <f t="shared" si="129"/>
        <v/>
      </c>
      <c r="K963" s="45" t="str">
        <f t="shared" si="130"/>
        <v/>
      </c>
      <c r="L963" s="55"/>
      <c r="M963" s="63">
        <f t="shared" si="131"/>
        <v>0</v>
      </c>
      <c r="N963" s="63">
        <f t="shared" si="132"/>
        <v>0</v>
      </c>
      <c r="O963" s="57"/>
      <c r="P963" s="40"/>
      <c r="Q963" s="60" t="str">
        <f>IF($D963="","",IF($K963&lt;&gt;"Balance Sheet / Clearing","-",IF(SUMPRODUCT(--(LEFT('7. Settlements'!$J$8:$J$107,7)=$A963),--('7. Settlements'!$M$8:$M$107="Tied out"))+SUMPRODUCT(--(LEFT('8. Transfers'!$H$9:$H$108,7)=$A963),--('8. Transfers'!$J$9:$J$108="Matched"))+SUMPRODUCT(--(LEFT('8. Transfers'!$I$9:$I$108,7)=$A963),--('8. Transfers'!$J$9:$J$108="Matched"))+IF($O963="",0,COUNTIFS('9. Payroll Allocation'!$B$234:$B$253,$O963,'9. Payroll Allocation'!$H$234:$H$253,"Tied out"))&gt;0,"Linked","MISSING DETAIL")))</f>
        <v/>
      </c>
      <c r="T963" s="58" t="str">
        <f t="shared" si="133"/>
        <v/>
      </c>
      <c r="U963" s="59" t="str">
        <f>IF($T963="","",COUNTIF($T$6:$T963,"?*"))</f>
        <v/>
      </c>
      <c r="V963" s="58" t="str">
        <f t="shared" si="134"/>
        <v/>
      </c>
    </row>
    <row r="964" spans="1:22" ht="12.95" customHeight="1" x14ac:dyDescent="0.25">
      <c r="A964" s="52" t="str">
        <f t="shared" si="126"/>
        <v/>
      </c>
      <c r="B964" s="37"/>
      <c r="C964" s="28"/>
      <c r="D964" s="35"/>
      <c r="E964" s="38"/>
      <c r="F964" s="38"/>
      <c r="G964" s="52" t="str">
        <f t="shared" si="127"/>
        <v/>
      </c>
      <c r="H964" s="53" t="str">
        <f t="shared" si="128"/>
        <v/>
      </c>
      <c r="I964" s="40"/>
      <c r="J964" s="54" t="str">
        <f t="shared" si="129"/>
        <v/>
      </c>
      <c r="K964" s="41" t="str">
        <f t="shared" si="130"/>
        <v/>
      </c>
      <c r="L964" s="55"/>
      <c r="M964" s="56">
        <f t="shared" si="131"/>
        <v>0</v>
      </c>
      <c r="N964" s="56">
        <f t="shared" si="132"/>
        <v>0</v>
      </c>
      <c r="O964" s="57"/>
      <c r="P964" s="40"/>
      <c r="Q964" s="52" t="str">
        <f>IF($D964="","",IF($K964&lt;&gt;"Balance Sheet / Clearing","-",IF(SUMPRODUCT(--(LEFT('7. Settlements'!$J$8:$J$107,7)=$A964),--('7. Settlements'!$M$8:$M$107="Tied out"))+SUMPRODUCT(--(LEFT('8. Transfers'!$H$9:$H$108,7)=$A964),--('8. Transfers'!$J$9:$J$108="Matched"))+SUMPRODUCT(--(LEFT('8. Transfers'!$I$9:$I$108,7)=$A964),--('8. Transfers'!$J$9:$J$108="Matched"))+IF($O964="",0,COUNTIFS('9. Payroll Allocation'!$B$234:$B$253,$O964,'9. Payroll Allocation'!$H$234:$H$253,"Tied out"))&gt;0,"Linked","MISSING DETAIL")))</f>
        <v/>
      </c>
      <c r="T964" s="58" t="str">
        <f t="shared" si="133"/>
        <v/>
      </c>
      <c r="U964" s="59" t="str">
        <f>IF($T964="","",COUNTIF($T$6:$T964,"?*"))</f>
        <v/>
      </c>
      <c r="V964" s="58" t="str">
        <f t="shared" si="134"/>
        <v/>
      </c>
    </row>
    <row r="965" spans="1:22" ht="12.95" customHeight="1" x14ac:dyDescent="0.25">
      <c r="A965" s="60" t="str">
        <f t="shared" si="126"/>
        <v/>
      </c>
      <c r="B965" s="37"/>
      <c r="C965" s="28"/>
      <c r="D965" s="35"/>
      <c r="E965" s="38"/>
      <c r="F965" s="38"/>
      <c r="G965" s="60" t="str">
        <f t="shared" si="127"/>
        <v/>
      </c>
      <c r="H965" s="61" t="str">
        <f t="shared" si="128"/>
        <v/>
      </c>
      <c r="I965" s="40"/>
      <c r="J965" s="62" t="str">
        <f t="shared" si="129"/>
        <v/>
      </c>
      <c r="K965" s="45" t="str">
        <f t="shared" si="130"/>
        <v/>
      </c>
      <c r="L965" s="55"/>
      <c r="M965" s="63">
        <f t="shared" si="131"/>
        <v>0</v>
      </c>
      <c r="N965" s="63">
        <f t="shared" si="132"/>
        <v>0</v>
      </c>
      <c r="O965" s="57"/>
      <c r="P965" s="40"/>
      <c r="Q965" s="60" t="str">
        <f>IF($D965="","",IF($K965&lt;&gt;"Balance Sheet / Clearing","-",IF(SUMPRODUCT(--(LEFT('7. Settlements'!$J$8:$J$107,7)=$A965),--('7. Settlements'!$M$8:$M$107="Tied out"))+SUMPRODUCT(--(LEFT('8. Transfers'!$H$9:$H$108,7)=$A965),--('8. Transfers'!$J$9:$J$108="Matched"))+SUMPRODUCT(--(LEFT('8. Transfers'!$I$9:$I$108,7)=$A965),--('8. Transfers'!$J$9:$J$108="Matched"))+IF($O965="",0,COUNTIFS('9. Payroll Allocation'!$B$234:$B$253,$O965,'9. Payroll Allocation'!$H$234:$H$253,"Tied out"))&gt;0,"Linked","MISSING DETAIL")))</f>
        <v/>
      </c>
      <c r="T965" s="58" t="str">
        <f t="shared" si="133"/>
        <v/>
      </c>
      <c r="U965" s="59" t="str">
        <f>IF($T965="","",COUNTIF($T$6:$T965,"?*"))</f>
        <v/>
      </c>
      <c r="V965" s="58" t="str">
        <f t="shared" si="134"/>
        <v/>
      </c>
    </row>
    <row r="966" spans="1:22" ht="12.95" customHeight="1" x14ac:dyDescent="0.25">
      <c r="A966" s="52" t="str">
        <f t="shared" ref="A966:A1005" si="135">IF($D966="","","TX-"&amp;TEXT(ROW()-5,"0000"))</f>
        <v/>
      </c>
      <c r="B966" s="37"/>
      <c r="C966" s="28"/>
      <c r="D966" s="35"/>
      <c r="E966" s="38"/>
      <c r="F966" s="38"/>
      <c r="G966" s="52" t="str">
        <f t="shared" ref="G966:G1005" si="136">IF($D966="","",IFERROR(_xlfn.AGGREGATE(15,6,Rules_Pri/((ISNUMBER(SEARCH(Rules_Key,$D966)))*(Rules_Key&lt;&gt;"")*(Rules_Active="Yes")*((Rules_Dir="Any")+(Rules_Dir=IF(N($E966)&gt;0,"In","Out")))),1),""))</f>
        <v/>
      </c>
      <c r="H966" s="53" t="str">
        <f t="shared" ref="H966:H1005" si="137">IF($D966="","",IF($G966="",IF(N($E966)&gt;0,"Uncategorized Deposit - NEEDS REVIEW","Uncategorized - NEEDS REVIEW"),INDEX(Rules_Cat,MATCH(1,INDEX(((ISNUMBER(SEARCH(Rules_Key,$D966)))*(Rules_Key&lt;&gt;"")*(Rules_Active="Yes")*((Rules_Dir="Any")+(Rules_Dir=IF(N($E966)&gt;0,"In","Out"))))*(Rules_Pri=$G966),0),0))))</f>
        <v/>
      </c>
      <c r="I966" s="40"/>
      <c r="J966" s="54" t="str">
        <f t="shared" ref="J966:J1005" si="138">IF($D966="","",IF($I966&lt;&gt;"",$I966,$H966))</f>
        <v/>
      </c>
      <c r="K966" s="41" t="str">
        <f t="shared" ref="K966:K1005" si="139">IF($J966="","",IFERROR(INDEX(Cat_Treatment,MATCH($J966,Cat_Name,0)),"Review Required"))</f>
        <v/>
      </c>
      <c r="L966" s="55"/>
      <c r="M966" s="56">
        <f t="shared" ref="M966:M1005" si="140">IF($K966&lt;&gt;"Operating Expense",0,IF(AND($L966&lt;&gt;"",OR(N($L966)&lt;0,N($L966)&gt;1)),0,ROUND(N($F966)*IF($L966="",1,$L966),2)))</f>
        <v>0</v>
      </c>
      <c r="N966" s="56">
        <f t="shared" ref="N966:N1005" si="141">IF($K966="Operating Revenue",ROUND(N($E966)-N($F966),2),0)</f>
        <v>0</v>
      </c>
      <c r="O966" s="57"/>
      <c r="P966" s="40"/>
      <c r="Q966" s="52" t="str">
        <f>IF($D966="","",IF($K966&lt;&gt;"Balance Sheet / Clearing","-",IF(SUMPRODUCT(--(LEFT('7. Settlements'!$J$8:$J$107,7)=$A966),--('7. Settlements'!$M$8:$M$107="Tied out"))+SUMPRODUCT(--(LEFT('8. Transfers'!$H$9:$H$108,7)=$A966),--('8. Transfers'!$J$9:$J$108="Matched"))+SUMPRODUCT(--(LEFT('8. Transfers'!$I$9:$I$108,7)=$A966),--('8. Transfers'!$J$9:$J$108="Matched"))+IF($O966="",0,COUNTIFS('9. Payroll Allocation'!$B$234:$B$253,$O966,'9. Payroll Allocation'!$H$234:$H$253,"Tied out"))&gt;0,"Linked","MISSING DETAIL")))</f>
        <v/>
      </c>
      <c r="T966" s="58" t="str">
        <f t="shared" ref="T966:T1005" si="142">IF(OR($D966="",$K966&lt;&gt;"Balance Sheet / Clearing"),"",$A966&amp;" · "&amp;TEXT($B966,"mm/dd")&amp;" · "&amp;LEFT($D966,24)&amp;" · "&amp;TEXT(N($E966)+N($F966),"#,##0.00"))</f>
        <v/>
      </c>
      <c r="U966" s="59" t="str">
        <f>IF($T966="","",COUNTIF($T$6:$T966,"?*"))</f>
        <v/>
      </c>
      <c r="V966" s="58" t="str">
        <f t="shared" ref="V966:V1005" si="143">IFERROR(INDEX($T$6:$T$1005,MATCH(ROW()-5,$U$6:$U$1005,0)),"")</f>
        <v/>
      </c>
    </row>
    <row r="967" spans="1:22" ht="12.95" customHeight="1" x14ac:dyDescent="0.25">
      <c r="A967" s="60" t="str">
        <f t="shared" si="135"/>
        <v/>
      </c>
      <c r="B967" s="37"/>
      <c r="C967" s="28"/>
      <c r="D967" s="35"/>
      <c r="E967" s="38"/>
      <c r="F967" s="38"/>
      <c r="G967" s="60" t="str">
        <f t="shared" si="136"/>
        <v/>
      </c>
      <c r="H967" s="61" t="str">
        <f t="shared" si="137"/>
        <v/>
      </c>
      <c r="I967" s="40"/>
      <c r="J967" s="62" t="str">
        <f t="shared" si="138"/>
        <v/>
      </c>
      <c r="K967" s="45" t="str">
        <f t="shared" si="139"/>
        <v/>
      </c>
      <c r="L967" s="55"/>
      <c r="M967" s="63">
        <f t="shared" si="140"/>
        <v>0</v>
      </c>
      <c r="N967" s="63">
        <f t="shared" si="141"/>
        <v>0</v>
      </c>
      <c r="O967" s="57"/>
      <c r="P967" s="40"/>
      <c r="Q967" s="60" t="str">
        <f>IF($D967="","",IF($K967&lt;&gt;"Balance Sheet / Clearing","-",IF(SUMPRODUCT(--(LEFT('7. Settlements'!$J$8:$J$107,7)=$A967),--('7. Settlements'!$M$8:$M$107="Tied out"))+SUMPRODUCT(--(LEFT('8. Transfers'!$H$9:$H$108,7)=$A967),--('8. Transfers'!$J$9:$J$108="Matched"))+SUMPRODUCT(--(LEFT('8. Transfers'!$I$9:$I$108,7)=$A967),--('8. Transfers'!$J$9:$J$108="Matched"))+IF($O967="",0,COUNTIFS('9. Payroll Allocation'!$B$234:$B$253,$O967,'9. Payroll Allocation'!$H$234:$H$253,"Tied out"))&gt;0,"Linked","MISSING DETAIL")))</f>
        <v/>
      </c>
      <c r="T967" s="58" t="str">
        <f t="shared" si="142"/>
        <v/>
      </c>
      <c r="U967" s="59" t="str">
        <f>IF($T967="","",COUNTIF($T$6:$T967,"?*"))</f>
        <v/>
      </c>
      <c r="V967" s="58" t="str">
        <f t="shared" si="143"/>
        <v/>
      </c>
    </row>
    <row r="968" spans="1:22" ht="12.95" customHeight="1" x14ac:dyDescent="0.25">
      <c r="A968" s="52" t="str">
        <f t="shared" si="135"/>
        <v/>
      </c>
      <c r="B968" s="37"/>
      <c r="C968" s="28"/>
      <c r="D968" s="35"/>
      <c r="E968" s="38"/>
      <c r="F968" s="38"/>
      <c r="G968" s="52" t="str">
        <f t="shared" si="136"/>
        <v/>
      </c>
      <c r="H968" s="53" t="str">
        <f t="shared" si="137"/>
        <v/>
      </c>
      <c r="I968" s="40"/>
      <c r="J968" s="54" t="str">
        <f t="shared" si="138"/>
        <v/>
      </c>
      <c r="K968" s="41" t="str">
        <f t="shared" si="139"/>
        <v/>
      </c>
      <c r="L968" s="55"/>
      <c r="M968" s="56">
        <f t="shared" si="140"/>
        <v>0</v>
      </c>
      <c r="N968" s="56">
        <f t="shared" si="141"/>
        <v>0</v>
      </c>
      <c r="O968" s="57"/>
      <c r="P968" s="40"/>
      <c r="Q968" s="52" t="str">
        <f>IF($D968="","",IF($K968&lt;&gt;"Balance Sheet / Clearing","-",IF(SUMPRODUCT(--(LEFT('7. Settlements'!$J$8:$J$107,7)=$A968),--('7. Settlements'!$M$8:$M$107="Tied out"))+SUMPRODUCT(--(LEFT('8. Transfers'!$H$9:$H$108,7)=$A968),--('8. Transfers'!$J$9:$J$108="Matched"))+SUMPRODUCT(--(LEFT('8. Transfers'!$I$9:$I$108,7)=$A968),--('8. Transfers'!$J$9:$J$108="Matched"))+IF($O968="",0,COUNTIFS('9. Payroll Allocation'!$B$234:$B$253,$O968,'9. Payroll Allocation'!$H$234:$H$253,"Tied out"))&gt;0,"Linked","MISSING DETAIL")))</f>
        <v/>
      </c>
      <c r="T968" s="58" t="str">
        <f t="shared" si="142"/>
        <v/>
      </c>
      <c r="U968" s="59" t="str">
        <f>IF($T968="","",COUNTIF($T$6:$T968,"?*"))</f>
        <v/>
      </c>
      <c r="V968" s="58" t="str">
        <f t="shared" si="143"/>
        <v/>
      </c>
    </row>
    <row r="969" spans="1:22" ht="12.95" customHeight="1" x14ac:dyDescent="0.25">
      <c r="A969" s="60" t="str">
        <f t="shared" si="135"/>
        <v/>
      </c>
      <c r="B969" s="37"/>
      <c r="C969" s="28"/>
      <c r="D969" s="35"/>
      <c r="E969" s="38"/>
      <c r="F969" s="38"/>
      <c r="G969" s="60" t="str">
        <f t="shared" si="136"/>
        <v/>
      </c>
      <c r="H969" s="61" t="str">
        <f t="shared" si="137"/>
        <v/>
      </c>
      <c r="I969" s="40"/>
      <c r="J969" s="62" t="str">
        <f t="shared" si="138"/>
        <v/>
      </c>
      <c r="K969" s="45" t="str">
        <f t="shared" si="139"/>
        <v/>
      </c>
      <c r="L969" s="55"/>
      <c r="M969" s="63">
        <f t="shared" si="140"/>
        <v>0</v>
      </c>
      <c r="N969" s="63">
        <f t="shared" si="141"/>
        <v>0</v>
      </c>
      <c r="O969" s="57"/>
      <c r="P969" s="40"/>
      <c r="Q969" s="60" t="str">
        <f>IF($D969="","",IF($K969&lt;&gt;"Balance Sheet / Clearing","-",IF(SUMPRODUCT(--(LEFT('7. Settlements'!$J$8:$J$107,7)=$A969),--('7. Settlements'!$M$8:$M$107="Tied out"))+SUMPRODUCT(--(LEFT('8. Transfers'!$H$9:$H$108,7)=$A969),--('8. Transfers'!$J$9:$J$108="Matched"))+SUMPRODUCT(--(LEFT('8. Transfers'!$I$9:$I$108,7)=$A969),--('8. Transfers'!$J$9:$J$108="Matched"))+IF($O969="",0,COUNTIFS('9. Payroll Allocation'!$B$234:$B$253,$O969,'9. Payroll Allocation'!$H$234:$H$253,"Tied out"))&gt;0,"Linked","MISSING DETAIL")))</f>
        <v/>
      </c>
      <c r="T969" s="58" t="str">
        <f t="shared" si="142"/>
        <v/>
      </c>
      <c r="U969" s="59" t="str">
        <f>IF($T969="","",COUNTIF($T$6:$T969,"?*"))</f>
        <v/>
      </c>
      <c r="V969" s="58" t="str">
        <f t="shared" si="143"/>
        <v/>
      </c>
    </row>
    <row r="970" spans="1:22" ht="12.95" customHeight="1" x14ac:dyDescent="0.25">
      <c r="A970" s="52" t="str">
        <f t="shared" si="135"/>
        <v/>
      </c>
      <c r="B970" s="37"/>
      <c r="C970" s="28"/>
      <c r="D970" s="35"/>
      <c r="E970" s="38"/>
      <c r="F970" s="38"/>
      <c r="G970" s="52" t="str">
        <f t="shared" si="136"/>
        <v/>
      </c>
      <c r="H970" s="53" t="str">
        <f t="shared" si="137"/>
        <v/>
      </c>
      <c r="I970" s="40"/>
      <c r="J970" s="54" t="str">
        <f t="shared" si="138"/>
        <v/>
      </c>
      <c r="K970" s="41" t="str">
        <f t="shared" si="139"/>
        <v/>
      </c>
      <c r="L970" s="55"/>
      <c r="M970" s="56">
        <f t="shared" si="140"/>
        <v>0</v>
      </c>
      <c r="N970" s="56">
        <f t="shared" si="141"/>
        <v>0</v>
      </c>
      <c r="O970" s="57"/>
      <c r="P970" s="40"/>
      <c r="Q970" s="52" t="str">
        <f>IF($D970="","",IF($K970&lt;&gt;"Balance Sheet / Clearing","-",IF(SUMPRODUCT(--(LEFT('7. Settlements'!$J$8:$J$107,7)=$A970),--('7. Settlements'!$M$8:$M$107="Tied out"))+SUMPRODUCT(--(LEFT('8. Transfers'!$H$9:$H$108,7)=$A970),--('8. Transfers'!$J$9:$J$108="Matched"))+SUMPRODUCT(--(LEFT('8. Transfers'!$I$9:$I$108,7)=$A970),--('8. Transfers'!$J$9:$J$108="Matched"))+IF($O970="",0,COUNTIFS('9. Payroll Allocation'!$B$234:$B$253,$O970,'9. Payroll Allocation'!$H$234:$H$253,"Tied out"))&gt;0,"Linked","MISSING DETAIL")))</f>
        <v/>
      </c>
      <c r="T970" s="58" t="str">
        <f t="shared" si="142"/>
        <v/>
      </c>
      <c r="U970" s="59" t="str">
        <f>IF($T970="","",COUNTIF($T$6:$T970,"?*"))</f>
        <v/>
      </c>
      <c r="V970" s="58" t="str">
        <f t="shared" si="143"/>
        <v/>
      </c>
    </row>
    <row r="971" spans="1:22" ht="12.95" customHeight="1" x14ac:dyDescent="0.25">
      <c r="A971" s="60" t="str">
        <f t="shared" si="135"/>
        <v/>
      </c>
      <c r="B971" s="37"/>
      <c r="C971" s="28"/>
      <c r="D971" s="35"/>
      <c r="E971" s="38"/>
      <c r="F971" s="38"/>
      <c r="G971" s="60" t="str">
        <f t="shared" si="136"/>
        <v/>
      </c>
      <c r="H971" s="61" t="str">
        <f t="shared" si="137"/>
        <v/>
      </c>
      <c r="I971" s="40"/>
      <c r="J971" s="62" t="str">
        <f t="shared" si="138"/>
        <v/>
      </c>
      <c r="K971" s="45" t="str">
        <f t="shared" si="139"/>
        <v/>
      </c>
      <c r="L971" s="55"/>
      <c r="M971" s="63">
        <f t="shared" si="140"/>
        <v>0</v>
      </c>
      <c r="N971" s="63">
        <f t="shared" si="141"/>
        <v>0</v>
      </c>
      <c r="O971" s="57"/>
      <c r="P971" s="40"/>
      <c r="Q971" s="60" t="str">
        <f>IF($D971="","",IF($K971&lt;&gt;"Balance Sheet / Clearing","-",IF(SUMPRODUCT(--(LEFT('7. Settlements'!$J$8:$J$107,7)=$A971),--('7. Settlements'!$M$8:$M$107="Tied out"))+SUMPRODUCT(--(LEFT('8. Transfers'!$H$9:$H$108,7)=$A971),--('8. Transfers'!$J$9:$J$108="Matched"))+SUMPRODUCT(--(LEFT('8. Transfers'!$I$9:$I$108,7)=$A971),--('8. Transfers'!$J$9:$J$108="Matched"))+IF($O971="",0,COUNTIFS('9. Payroll Allocation'!$B$234:$B$253,$O971,'9. Payroll Allocation'!$H$234:$H$253,"Tied out"))&gt;0,"Linked","MISSING DETAIL")))</f>
        <v/>
      </c>
      <c r="T971" s="58" t="str">
        <f t="shared" si="142"/>
        <v/>
      </c>
      <c r="U971" s="59" t="str">
        <f>IF($T971="","",COUNTIF($T$6:$T971,"?*"))</f>
        <v/>
      </c>
      <c r="V971" s="58" t="str">
        <f t="shared" si="143"/>
        <v/>
      </c>
    </row>
    <row r="972" spans="1:22" ht="12.95" customHeight="1" x14ac:dyDescent="0.25">
      <c r="A972" s="52" t="str">
        <f t="shared" si="135"/>
        <v/>
      </c>
      <c r="B972" s="37"/>
      <c r="C972" s="28"/>
      <c r="D972" s="35"/>
      <c r="E972" s="38"/>
      <c r="F972" s="38"/>
      <c r="G972" s="52" t="str">
        <f t="shared" si="136"/>
        <v/>
      </c>
      <c r="H972" s="53" t="str">
        <f t="shared" si="137"/>
        <v/>
      </c>
      <c r="I972" s="40"/>
      <c r="J972" s="54" t="str">
        <f t="shared" si="138"/>
        <v/>
      </c>
      <c r="K972" s="41" t="str">
        <f t="shared" si="139"/>
        <v/>
      </c>
      <c r="L972" s="55"/>
      <c r="M972" s="56">
        <f t="shared" si="140"/>
        <v>0</v>
      </c>
      <c r="N972" s="56">
        <f t="shared" si="141"/>
        <v>0</v>
      </c>
      <c r="O972" s="57"/>
      <c r="P972" s="40"/>
      <c r="Q972" s="52" t="str">
        <f>IF($D972="","",IF($K972&lt;&gt;"Balance Sheet / Clearing","-",IF(SUMPRODUCT(--(LEFT('7. Settlements'!$J$8:$J$107,7)=$A972),--('7. Settlements'!$M$8:$M$107="Tied out"))+SUMPRODUCT(--(LEFT('8. Transfers'!$H$9:$H$108,7)=$A972),--('8. Transfers'!$J$9:$J$108="Matched"))+SUMPRODUCT(--(LEFT('8. Transfers'!$I$9:$I$108,7)=$A972),--('8. Transfers'!$J$9:$J$108="Matched"))+IF($O972="",0,COUNTIFS('9. Payroll Allocation'!$B$234:$B$253,$O972,'9. Payroll Allocation'!$H$234:$H$253,"Tied out"))&gt;0,"Linked","MISSING DETAIL")))</f>
        <v/>
      </c>
      <c r="T972" s="58" t="str">
        <f t="shared" si="142"/>
        <v/>
      </c>
      <c r="U972" s="59" t="str">
        <f>IF($T972="","",COUNTIF($T$6:$T972,"?*"))</f>
        <v/>
      </c>
      <c r="V972" s="58" t="str">
        <f t="shared" si="143"/>
        <v/>
      </c>
    </row>
    <row r="973" spans="1:22" ht="12.95" customHeight="1" x14ac:dyDescent="0.25">
      <c r="A973" s="60" t="str">
        <f t="shared" si="135"/>
        <v/>
      </c>
      <c r="B973" s="37"/>
      <c r="C973" s="28"/>
      <c r="D973" s="35"/>
      <c r="E973" s="38"/>
      <c r="F973" s="38"/>
      <c r="G973" s="60" t="str">
        <f t="shared" si="136"/>
        <v/>
      </c>
      <c r="H973" s="61" t="str">
        <f t="shared" si="137"/>
        <v/>
      </c>
      <c r="I973" s="40"/>
      <c r="J973" s="62" t="str">
        <f t="shared" si="138"/>
        <v/>
      </c>
      <c r="K973" s="45" t="str">
        <f t="shared" si="139"/>
        <v/>
      </c>
      <c r="L973" s="55"/>
      <c r="M973" s="63">
        <f t="shared" si="140"/>
        <v>0</v>
      </c>
      <c r="N973" s="63">
        <f t="shared" si="141"/>
        <v>0</v>
      </c>
      <c r="O973" s="57"/>
      <c r="P973" s="40"/>
      <c r="Q973" s="60" t="str">
        <f>IF($D973="","",IF($K973&lt;&gt;"Balance Sheet / Clearing","-",IF(SUMPRODUCT(--(LEFT('7. Settlements'!$J$8:$J$107,7)=$A973),--('7. Settlements'!$M$8:$M$107="Tied out"))+SUMPRODUCT(--(LEFT('8. Transfers'!$H$9:$H$108,7)=$A973),--('8. Transfers'!$J$9:$J$108="Matched"))+SUMPRODUCT(--(LEFT('8. Transfers'!$I$9:$I$108,7)=$A973),--('8. Transfers'!$J$9:$J$108="Matched"))+IF($O973="",0,COUNTIFS('9. Payroll Allocation'!$B$234:$B$253,$O973,'9. Payroll Allocation'!$H$234:$H$253,"Tied out"))&gt;0,"Linked","MISSING DETAIL")))</f>
        <v/>
      </c>
      <c r="T973" s="58" t="str">
        <f t="shared" si="142"/>
        <v/>
      </c>
      <c r="U973" s="59" t="str">
        <f>IF($T973="","",COUNTIF($T$6:$T973,"?*"))</f>
        <v/>
      </c>
      <c r="V973" s="58" t="str">
        <f t="shared" si="143"/>
        <v/>
      </c>
    </row>
    <row r="974" spans="1:22" ht="12.95" customHeight="1" x14ac:dyDescent="0.25">
      <c r="A974" s="52" t="str">
        <f t="shared" si="135"/>
        <v/>
      </c>
      <c r="B974" s="37"/>
      <c r="C974" s="28"/>
      <c r="D974" s="35"/>
      <c r="E974" s="38"/>
      <c r="F974" s="38"/>
      <c r="G974" s="52" t="str">
        <f t="shared" si="136"/>
        <v/>
      </c>
      <c r="H974" s="53" t="str">
        <f t="shared" si="137"/>
        <v/>
      </c>
      <c r="I974" s="40"/>
      <c r="J974" s="54" t="str">
        <f t="shared" si="138"/>
        <v/>
      </c>
      <c r="K974" s="41" t="str">
        <f t="shared" si="139"/>
        <v/>
      </c>
      <c r="L974" s="55"/>
      <c r="M974" s="56">
        <f t="shared" si="140"/>
        <v>0</v>
      </c>
      <c r="N974" s="56">
        <f t="shared" si="141"/>
        <v>0</v>
      </c>
      <c r="O974" s="57"/>
      <c r="P974" s="40"/>
      <c r="Q974" s="52" t="str">
        <f>IF($D974="","",IF($K974&lt;&gt;"Balance Sheet / Clearing","-",IF(SUMPRODUCT(--(LEFT('7. Settlements'!$J$8:$J$107,7)=$A974),--('7. Settlements'!$M$8:$M$107="Tied out"))+SUMPRODUCT(--(LEFT('8. Transfers'!$H$9:$H$108,7)=$A974),--('8. Transfers'!$J$9:$J$108="Matched"))+SUMPRODUCT(--(LEFT('8. Transfers'!$I$9:$I$108,7)=$A974),--('8. Transfers'!$J$9:$J$108="Matched"))+IF($O974="",0,COUNTIFS('9. Payroll Allocation'!$B$234:$B$253,$O974,'9. Payroll Allocation'!$H$234:$H$253,"Tied out"))&gt;0,"Linked","MISSING DETAIL")))</f>
        <v/>
      </c>
      <c r="T974" s="58" t="str">
        <f t="shared" si="142"/>
        <v/>
      </c>
      <c r="U974" s="59" t="str">
        <f>IF($T974="","",COUNTIF($T$6:$T974,"?*"))</f>
        <v/>
      </c>
      <c r="V974" s="58" t="str">
        <f t="shared" si="143"/>
        <v/>
      </c>
    </row>
    <row r="975" spans="1:22" ht="12.95" customHeight="1" x14ac:dyDescent="0.25">
      <c r="A975" s="60" t="str">
        <f t="shared" si="135"/>
        <v/>
      </c>
      <c r="B975" s="37"/>
      <c r="C975" s="28"/>
      <c r="D975" s="35"/>
      <c r="E975" s="38"/>
      <c r="F975" s="38"/>
      <c r="G975" s="60" t="str">
        <f t="shared" si="136"/>
        <v/>
      </c>
      <c r="H975" s="61" t="str">
        <f t="shared" si="137"/>
        <v/>
      </c>
      <c r="I975" s="40"/>
      <c r="J975" s="62" t="str">
        <f t="shared" si="138"/>
        <v/>
      </c>
      <c r="K975" s="45" t="str">
        <f t="shared" si="139"/>
        <v/>
      </c>
      <c r="L975" s="55"/>
      <c r="M975" s="63">
        <f t="shared" si="140"/>
        <v>0</v>
      </c>
      <c r="N975" s="63">
        <f t="shared" si="141"/>
        <v>0</v>
      </c>
      <c r="O975" s="57"/>
      <c r="P975" s="40"/>
      <c r="Q975" s="60" t="str">
        <f>IF($D975="","",IF($K975&lt;&gt;"Balance Sheet / Clearing","-",IF(SUMPRODUCT(--(LEFT('7. Settlements'!$J$8:$J$107,7)=$A975),--('7. Settlements'!$M$8:$M$107="Tied out"))+SUMPRODUCT(--(LEFT('8. Transfers'!$H$9:$H$108,7)=$A975),--('8. Transfers'!$J$9:$J$108="Matched"))+SUMPRODUCT(--(LEFT('8. Transfers'!$I$9:$I$108,7)=$A975),--('8. Transfers'!$J$9:$J$108="Matched"))+IF($O975="",0,COUNTIFS('9. Payroll Allocation'!$B$234:$B$253,$O975,'9. Payroll Allocation'!$H$234:$H$253,"Tied out"))&gt;0,"Linked","MISSING DETAIL")))</f>
        <v/>
      </c>
      <c r="T975" s="58" t="str">
        <f t="shared" si="142"/>
        <v/>
      </c>
      <c r="U975" s="59" t="str">
        <f>IF($T975="","",COUNTIF($T$6:$T975,"?*"))</f>
        <v/>
      </c>
      <c r="V975" s="58" t="str">
        <f t="shared" si="143"/>
        <v/>
      </c>
    </row>
    <row r="976" spans="1:22" ht="12.95" customHeight="1" x14ac:dyDescent="0.25">
      <c r="A976" s="52" t="str">
        <f t="shared" si="135"/>
        <v/>
      </c>
      <c r="B976" s="37"/>
      <c r="C976" s="28"/>
      <c r="D976" s="35"/>
      <c r="E976" s="38"/>
      <c r="F976" s="38"/>
      <c r="G976" s="52" t="str">
        <f t="shared" si="136"/>
        <v/>
      </c>
      <c r="H976" s="53" t="str">
        <f t="shared" si="137"/>
        <v/>
      </c>
      <c r="I976" s="40"/>
      <c r="J976" s="54" t="str">
        <f t="shared" si="138"/>
        <v/>
      </c>
      <c r="K976" s="41" t="str">
        <f t="shared" si="139"/>
        <v/>
      </c>
      <c r="L976" s="55"/>
      <c r="M976" s="56">
        <f t="shared" si="140"/>
        <v>0</v>
      </c>
      <c r="N976" s="56">
        <f t="shared" si="141"/>
        <v>0</v>
      </c>
      <c r="O976" s="57"/>
      <c r="P976" s="40"/>
      <c r="Q976" s="52" t="str">
        <f>IF($D976="","",IF($K976&lt;&gt;"Balance Sheet / Clearing","-",IF(SUMPRODUCT(--(LEFT('7. Settlements'!$J$8:$J$107,7)=$A976),--('7. Settlements'!$M$8:$M$107="Tied out"))+SUMPRODUCT(--(LEFT('8. Transfers'!$H$9:$H$108,7)=$A976),--('8. Transfers'!$J$9:$J$108="Matched"))+SUMPRODUCT(--(LEFT('8. Transfers'!$I$9:$I$108,7)=$A976),--('8. Transfers'!$J$9:$J$108="Matched"))+IF($O976="",0,COUNTIFS('9. Payroll Allocation'!$B$234:$B$253,$O976,'9. Payroll Allocation'!$H$234:$H$253,"Tied out"))&gt;0,"Linked","MISSING DETAIL")))</f>
        <v/>
      </c>
      <c r="T976" s="58" t="str">
        <f t="shared" si="142"/>
        <v/>
      </c>
      <c r="U976" s="59" t="str">
        <f>IF($T976="","",COUNTIF($T$6:$T976,"?*"))</f>
        <v/>
      </c>
      <c r="V976" s="58" t="str">
        <f t="shared" si="143"/>
        <v/>
      </c>
    </row>
    <row r="977" spans="1:22" ht="12.95" customHeight="1" x14ac:dyDescent="0.25">
      <c r="A977" s="60" t="str">
        <f t="shared" si="135"/>
        <v/>
      </c>
      <c r="B977" s="37"/>
      <c r="C977" s="28"/>
      <c r="D977" s="35"/>
      <c r="E977" s="38"/>
      <c r="F977" s="38"/>
      <c r="G977" s="60" t="str">
        <f t="shared" si="136"/>
        <v/>
      </c>
      <c r="H977" s="61" t="str">
        <f t="shared" si="137"/>
        <v/>
      </c>
      <c r="I977" s="40"/>
      <c r="J977" s="62" t="str">
        <f t="shared" si="138"/>
        <v/>
      </c>
      <c r="K977" s="45" t="str">
        <f t="shared" si="139"/>
        <v/>
      </c>
      <c r="L977" s="55"/>
      <c r="M977" s="63">
        <f t="shared" si="140"/>
        <v>0</v>
      </c>
      <c r="N977" s="63">
        <f t="shared" si="141"/>
        <v>0</v>
      </c>
      <c r="O977" s="57"/>
      <c r="P977" s="40"/>
      <c r="Q977" s="60" t="str">
        <f>IF($D977="","",IF($K977&lt;&gt;"Balance Sheet / Clearing","-",IF(SUMPRODUCT(--(LEFT('7. Settlements'!$J$8:$J$107,7)=$A977),--('7. Settlements'!$M$8:$M$107="Tied out"))+SUMPRODUCT(--(LEFT('8. Transfers'!$H$9:$H$108,7)=$A977),--('8. Transfers'!$J$9:$J$108="Matched"))+SUMPRODUCT(--(LEFT('8. Transfers'!$I$9:$I$108,7)=$A977),--('8. Transfers'!$J$9:$J$108="Matched"))+IF($O977="",0,COUNTIFS('9. Payroll Allocation'!$B$234:$B$253,$O977,'9. Payroll Allocation'!$H$234:$H$253,"Tied out"))&gt;0,"Linked","MISSING DETAIL")))</f>
        <v/>
      </c>
      <c r="T977" s="58" t="str">
        <f t="shared" si="142"/>
        <v/>
      </c>
      <c r="U977" s="59" t="str">
        <f>IF($T977="","",COUNTIF($T$6:$T977,"?*"))</f>
        <v/>
      </c>
      <c r="V977" s="58" t="str">
        <f t="shared" si="143"/>
        <v/>
      </c>
    </row>
    <row r="978" spans="1:22" ht="12.95" customHeight="1" x14ac:dyDescent="0.25">
      <c r="A978" s="52" t="str">
        <f t="shared" si="135"/>
        <v/>
      </c>
      <c r="B978" s="37"/>
      <c r="C978" s="28"/>
      <c r="D978" s="35"/>
      <c r="E978" s="38"/>
      <c r="F978" s="38"/>
      <c r="G978" s="52" t="str">
        <f t="shared" si="136"/>
        <v/>
      </c>
      <c r="H978" s="53" t="str">
        <f t="shared" si="137"/>
        <v/>
      </c>
      <c r="I978" s="40"/>
      <c r="J978" s="54" t="str">
        <f t="shared" si="138"/>
        <v/>
      </c>
      <c r="K978" s="41" t="str">
        <f t="shared" si="139"/>
        <v/>
      </c>
      <c r="L978" s="55"/>
      <c r="M978" s="56">
        <f t="shared" si="140"/>
        <v>0</v>
      </c>
      <c r="N978" s="56">
        <f t="shared" si="141"/>
        <v>0</v>
      </c>
      <c r="O978" s="57"/>
      <c r="P978" s="40"/>
      <c r="Q978" s="52" t="str">
        <f>IF($D978="","",IF($K978&lt;&gt;"Balance Sheet / Clearing","-",IF(SUMPRODUCT(--(LEFT('7. Settlements'!$J$8:$J$107,7)=$A978),--('7. Settlements'!$M$8:$M$107="Tied out"))+SUMPRODUCT(--(LEFT('8. Transfers'!$H$9:$H$108,7)=$A978),--('8. Transfers'!$J$9:$J$108="Matched"))+SUMPRODUCT(--(LEFT('8. Transfers'!$I$9:$I$108,7)=$A978),--('8. Transfers'!$J$9:$J$108="Matched"))+IF($O978="",0,COUNTIFS('9. Payroll Allocation'!$B$234:$B$253,$O978,'9. Payroll Allocation'!$H$234:$H$253,"Tied out"))&gt;0,"Linked","MISSING DETAIL")))</f>
        <v/>
      </c>
      <c r="T978" s="58" t="str">
        <f t="shared" si="142"/>
        <v/>
      </c>
      <c r="U978" s="59" t="str">
        <f>IF($T978="","",COUNTIF($T$6:$T978,"?*"))</f>
        <v/>
      </c>
      <c r="V978" s="58" t="str">
        <f t="shared" si="143"/>
        <v/>
      </c>
    </row>
    <row r="979" spans="1:22" ht="12.95" customHeight="1" x14ac:dyDescent="0.25">
      <c r="A979" s="60" t="str">
        <f t="shared" si="135"/>
        <v/>
      </c>
      <c r="B979" s="37"/>
      <c r="C979" s="28"/>
      <c r="D979" s="35"/>
      <c r="E979" s="38"/>
      <c r="F979" s="38"/>
      <c r="G979" s="60" t="str">
        <f t="shared" si="136"/>
        <v/>
      </c>
      <c r="H979" s="61" t="str">
        <f t="shared" si="137"/>
        <v/>
      </c>
      <c r="I979" s="40"/>
      <c r="J979" s="62" t="str">
        <f t="shared" si="138"/>
        <v/>
      </c>
      <c r="K979" s="45" t="str">
        <f t="shared" si="139"/>
        <v/>
      </c>
      <c r="L979" s="55"/>
      <c r="M979" s="63">
        <f t="shared" si="140"/>
        <v>0</v>
      </c>
      <c r="N979" s="63">
        <f t="shared" si="141"/>
        <v>0</v>
      </c>
      <c r="O979" s="57"/>
      <c r="P979" s="40"/>
      <c r="Q979" s="60" t="str">
        <f>IF($D979="","",IF($K979&lt;&gt;"Balance Sheet / Clearing","-",IF(SUMPRODUCT(--(LEFT('7. Settlements'!$J$8:$J$107,7)=$A979),--('7. Settlements'!$M$8:$M$107="Tied out"))+SUMPRODUCT(--(LEFT('8. Transfers'!$H$9:$H$108,7)=$A979),--('8. Transfers'!$J$9:$J$108="Matched"))+SUMPRODUCT(--(LEFT('8. Transfers'!$I$9:$I$108,7)=$A979),--('8. Transfers'!$J$9:$J$108="Matched"))+IF($O979="",0,COUNTIFS('9. Payroll Allocation'!$B$234:$B$253,$O979,'9. Payroll Allocation'!$H$234:$H$253,"Tied out"))&gt;0,"Linked","MISSING DETAIL")))</f>
        <v/>
      </c>
      <c r="T979" s="58" t="str">
        <f t="shared" si="142"/>
        <v/>
      </c>
      <c r="U979" s="59" t="str">
        <f>IF($T979="","",COUNTIF($T$6:$T979,"?*"))</f>
        <v/>
      </c>
      <c r="V979" s="58" t="str">
        <f t="shared" si="143"/>
        <v/>
      </c>
    </row>
    <row r="980" spans="1:22" ht="12.95" customHeight="1" x14ac:dyDescent="0.25">
      <c r="A980" s="52" t="str">
        <f t="shared" si="135"/>
        <v/>
      </c>
      <c r="B980" s="37"/>
      <c r="C980" s="28"/>
      <c r="D980" s="35"/>
      <c r="E980" s="38"/>
      <c r="F980" s="38"/>
      <c r="G980" s="52" t="str">
        <f t="shared" si="136"/>
        <v/>
      </c>
      <c r="H980" s="53" t="str">
        <f t="shared" si="137"/>
        <v/>
      </c>
      <c r="I980" s="40"/>
      <c r="J980" s="54" t="str">
        <f t="shared" si="138"/>
        <v/>
      </c>
      <c r="K980" s="41" t="str">
        <f t="shared" si="139"/>
        <v/>
      </c>
      <c r="L980" s="55"/>
      <c r="M980" s="56">
        <f t="shared" si="140"/>
        <v>0</v>
      </c>
      <c r="N980" s="56">
        <f t="shared" si="141"/>
        <v>0</v>
      </c>
      <c r="O980" s="57"/>
      <c r="P980" s="40"/>
      <c r="Q980" s="52" t="str">
        <f>IF($D980="","",IF($K980&lt;&gt;"Balance Sheet / Clearing","-",IF(SUMPRODUCT(--(LEFT('7. Settlements'!$J$8:$J$107,7)=$A980),--('7. Settlements'!$M$8:$M$107="Tied out"))+SUMPRODUCT(--(LEFT('8. Transfers'!$H$9:$H$108,7)=$A980),--('8. Transfers'!$J$9:$J$108="Matched"))+SUMPRODUCT(--(LEFT('8. Transfers'!$I$9:$I$108,7)=$A980),--('8. Transfers'!$J$9:$J$108="Matched"))+IF($O980="",0,COUNTIFS('9. Payroll Allocation'!$B$234:$B$253,$O980,'9. Payroll Allocation'!$H$234:$H$253,"Tied out"))&gt;0,"Linked","MISSING DETAIL")))</f>
        <v/>
      </c>
      <c r="T980" s="58" t="str">
        <f t="shared" si="142"/>
        <v/>
      </c>
      <c r="U980" s="59" t="str">
        <f>IF($T980="","",COUNTIF($T$6:$T980,"?*"))</f>
        <v/>
      </c>
      <c r="V980" s="58" t="str">
        <f t="shared" si="143"/>
        <v/>
      </c>
    </row>
    <row r="981" spans="1:22" ht="12.95" customHeight="1" x14ac:dyDescent="0.25">
      <c r="A981" s="60" t="str">
        <f t="shared" si="135"/>
        <v/>
      </c>
      <c r="B981" s="37"/>
      <c r="C981" s="28"/>
      <c r="D981" s="35"/>
      <c r="E981" s="38"/>
      <c r="F981" s="38"/>
      <c r="G981" s="60" t="str">
        <f t="shared" si="136"/>
        <v/>
      </c>
      <c r="H981" s="61" t="str">
        <f t="shared" si="137"/>
        <v/>
      </c>
      <c r="I981" s="40"/>
      <c r="J981" s="62" t="str">
        <f t="shared" si="138"/>
        <v/>
      </c>
      <c r="K981" s="45" t="str">
        <f t="shared" si="139"/>
        <v/>
      </c>
      <c r="L981" s="55"/>
      <c r="M981" s="63">
        <f t="shared" si="140"/>
        <v>0</v>
      </c>
      <c r="N981" s="63">
        <f t="shared" si="141"/>
        <v>0</v>
      </c>
      <c r="O981" s="57"/>
      <c r="P981" s="40"/>
      <c r="Q981" s="60" t="str">
        <f>IF($D981="","",IF($K981&lt;&gt;"Balance Sheet / Clearing","-",IF(SUMPRODUCT(--(LEFT('7. Settlements'!$J$8:$J$107,7)=$A981),--('7. Settlements'!$M$8:$M$107="Tied out"))+SUMPRODUCT(--(LEFT('8. Transfers'!$H$9:$H$108,7)=$A981),--('8. Transfers'!$J$9:$J$108="Matched"))+SUMPRODUCT(--(LEFT('8. Transfers'!$I$9:$I$108,7)=$A981),--('8. Transfers'!$J$9:$J$108="Matched"))+IF($O981="",0,COUNTIFS('9. Payroll Allocation'!$B$234:$B$253,$O981,'9. Payroll Allocation'!$H$234:$H$253,"Tied out"))&gt;0,"Linked","MISSING DETAIL")))</f>
        <v/>
      </c>
      <c r="T981" s="58" t="str">
        <f t="shared" si="142"/>
        <v/>
      </c>
      <c r="U981" s="59" t="str">
        <f>IF($T981="","",COUNTIF($T$6:$T981,"?*"))</f>
        <v/>
      </c>
      <c r="V981" s="58" t="str">
        <f t="shared" si="143"/>
        <v/>
      </c>
    </row>
    <row r="982" spans="1:22" ht="12.95" customHeight="1" x14ac:dyDescent="0.25">
      <c r="A982" s="52" t="str">
        <f t="shared" si="135"/>
        <v/>
      </c>
      <c r="B982" s="37"/>
      <c r="C982" s="28"/>
      <c r="D982" s="35"/>
      <c r="E982" s="38"/>
      <c r="F982" s="38"/>
      <c r="G982" s="52" t="str">
        <f t="shared" si="136"/>
        <v/>
      </c>
      <c r="H982" s="53" t="str">
        <f t="shared" si="137"/>
        <v/>
      </c>
      <c r="I982" s="40"/>
      <c r="J982" s="54" t="str">
        <f t="shared" si="138"/>
        <v/>
      </c>
      <c r="K982" s="41" t="str">
        <f t="shared" si="139"/>
        <v/>
      </c>
      <c r="L982" s="55"/>
      <c r="M982" s="56">
        <f t="shared" si="140"/>
        <v>0</v>
      </c>
      <c r="N982" s="56">
        <f t="shared" si="141"/>
        <v>0</v>
      </c>
      <c r="O982" s="57"/>
      <c r="P982" s="40"/>
      <c r="Q982" s="52" t="str">
        <f>IF($D982="","",IF($K982&lt;&gt;"Balance Sheet / Clearing","-",IF(SUMPRODUCT(--(LEFT('7. Settlements'!$J$8:$J$107,7)=$A982),--('7. Settlements'!$M$8:$M$107="Tied out"))+SUMPRODUCT(--(LEFT('8. Transfers'!$H$9:$H$108,7)=$A982),--('8. Transfers'!$J$9:$J$108="Matched"))+SUMPRODUCT(--(LEFT('8. Transfers'!$I$9:$I$108,7)=$A982),--('8. Transfers'!$J$9:$J$108="Matched"))+IF($O982="",0,COUNTIFS('9. Payroll Allocation'!$B$234:$B$253,$O982,'9. Payroll Allocation'!$H$234:$H$253,"Tied out"))&gt;0,"Linked","MISSING DETAIL")))</f>
        <v/>
      </c>
      <c r="T982" s="58" t="str">
        <f t="shared" si="142"/>
        <v/>
      </c>
      <c r="U982" s="59" t="str">
        <f>IF($T982="","",COUNTIF($T$6:$T982,"?*"))</f>
        <v/>
      </c>
      <c r="V982" s="58" t="str">
        <f t="shared" si="143"/>
        <v/>
      </c>
    </row>
    <row r="983" spans="1:22" ht="12.95" customHeight="1" x14ac:dyDescent="0.25">
      <c r="A983" s="60" t="str">
        <f t="shared" si="135"/>
        <v/>
      </c>
      <c r="B983" s="37"/>
      <c r="C983" s="28"/>
      <c r="D983" s="35"/>
      <c r="E983" s="38"/>
      <c r="F983" s="38"/>
      <c r="G983" s="60" t="str">
        <f t="shared" si="136"/>
        <v/>
      </c>
      <c r="H983" s="61" t="str">
        <f t="shared" si="137"/>
        <v/>
      </c>
      <c r="I983" s="40"/>
      <c r="J983" s="62" t="str">
        <f t="shared" si="138"/>
        <v/>
      </c>
      <c r="K983" s="45" t="str">
        <f t="shared" si="139"/>
        <v/>
      </c>
      <c r="L983" s="55"/>
      <c r="M983" s="63">
        <f t="shared" si="140"/>
        <v>0</v>
      </c>
      <c r="N983" s="63">
        <f t="shared" si="141"/>
        <v>0</v>
      </c>
      <c r="O983" s="57"/>
      <c r="P983" s="40"/>
      <c r="Q983" s="60" t="str">
        <f>IF($D983="","",IF($K983&lt;&gt;"Balance Sheet / Clearing","-",IF(SUMPRODUCT(--(LEFT('7. Settlements'!$J$8:$J$107,7)=$A983),--('7. Settlements'!$M$8:$M$107="Tied out"))+SUMPRODUCT(--(LEFT('8. Transfers'!$H$9:$H$108,7)=$A983),--('8. Transfers'!$J$9:$J$108="Matched"))+SUMPRODUCT(--(LEFT('8. Transfers'!$I$9:$I$108,7)=$A983),--('8. Transfers'!$J$9:$J$108="Matched"))+IF($O983="",0,COUNTIFS('9. Payroll Allocation'!$B$234:$B$253,$O983,'9. Payroll Allocation'!$H$234:$H$253,"Tied out"))&gt;0,"Linked","MISSING DETAIL")))</f>
        <v/>
      </c>
      <c r="T983" s="58" t="str">
        <f t="shared" si="142"/>
        <v/>
      </c>
      <c r="U983" s="59" t="str">
        <f>IF($T983="","",COUNTIF($T$6:$T983,"?*"))</f>
        <v/>
      </c>
      <c r="V983" s="58" t="str">
        <f t="shared" si="143"/>
        <v/>
      </c>
    </row>
    <row r="984" spans="1:22" ht="12.95" customHeight="1" x14ac:dyDescent="0.25">
      <c r="A984" s="52" t="str">
        <f t="shared" si="135"/>
        <v/>
      </c>
      <c r="B984" s="37"/>
      <c r="C984" s="28"/>
      <c r="D984" s="35"/>
      <c r="E984" s="38"/>
      <c r="F984" s="38"/>
      <c r="G984" s="52" t="str">
        <f t="shared" si="136"/>
        <v/>
      </c>
      <c r="H984" s="53" t="str">
        <f t="shared" si="137"/>
        <v/>
      </c>
      <c r="I984" s="40"/>
      <c r="J984" s="54" t="str">
        <f t="shared" si="138"/>
        <v/>
      </c>
      <c r="K984" s="41" t="str">
        <f t="shared" si="139"/>
        <v/>
      </c>
      <c r="L984" s="55"/>
      <c r="M984" s="56">
        <f t="shared" si="140"/>
        <v>0</v>
      </c>
      <c r="N984" s="56">
        <f t="shared" si="141"/>
        <v>0</v>
      </c>
      <c r="O984" s="57"/>
      <c r="P984" s="40"/>
      <c r="Q984" s="52" t="str">
        <f>IF($D984="","",IF($K984&lt;&gt;"Balance Sheet / Clearing","-",IF(SUMPRODUCT(--(LEFT('7. Settlements'!$J$8:$J$107,7)=$A984),--('7. Settlements'!$M$8:$M$107="Tied out"))+SUMPRODUCT(--(LEFT('8. Transfers'!$H$9:$H$108,7)=$A984),--('8. Transfers'!$J$9:$J$108="Matched"))+SUMPRODUCT(--(LEFT('8. Transfers'!$I$9:$I$108,7)=$A984),--('8. Transfers'!$J$9:$J$108="Matched"))+IF($O984="",0,COUNTIFS('9. Payroll Allocation'!$B$234:$B$253,$O984,'9. Payroll Allocation'!$H$234:$H$253,"Tied out"))&gt;0,"Linked","MISSING DETAIL")))</f>
        <v/>
      </c>
      <c r="T984" s="58" t="str">
        <f t="shared" si="142"/>
        <v/>
      </c>
      <c r="U984" s="59" t="str">
        <f>IF($T984="","",COUNTIF($T$6:$T984,"?*"))</f>
        <v/>
      </c>
      <c r="V984" s="58" t="str">
        <f t="shared" si="143"/>
        <v/>
      </c>
    </row>
    <row r="985" spans="1:22" ht="12.95" customHeight="1" x14ac:dyDescent="0.25">
      <c r="A985" s="60" t="str">
        <f t="shared" si="135"/>
        <v/>
      </c>
      <c r="B985" s="37"/>
      <c r="C985" s="28"/>
      <c r="D985" s="35"/>
      <c r="E985" s="38"/>
      <c r="F985" s="38"/>
      <c r="G985" s="60" t="str">
        <f t="shared" si="136"/>
        <v/>
      </c>
      <c r="H985" s="61" t="str">
        <f t="shared" si="137"/>
        <v/>
      </c>
      <c r="I985" s="40"/>
      <c r="J985" s="62" t="str">
        <f t="shared" si="138"/>
        <v/>
      </c>
      <c r="K985" s="45" t="str">
        <f t="shared" si="139"/>
        <v/>
      </c>
      <c r="L985" s="55"/>
      <c r="M985" s="63">
        <f t="shared" si="140"/>
        <v>0</v>
      </c>
      <c r="N985" s="63">
        <f t="shared" si="141"/>
        <v>0</v>
      </c>
      <c r="O985" s="57"/>
      <c r="P985" s="40"/>
      <c r="Q985" s="60" t="str">
        <f>IF($D985="","",IF($K985&lt;&gt;"Balance Sheet / Clearing","-",IF(SUMPRODUCT(--(LEFT('7. Settlements'!$J$8:$J$107,7)=$A985),--('7. Settlements'!$M$8:$M$107="Tied out"))+SUMPRODUCT(--(LEFT('8. Transfers'!$H$9:$H$108,7)=$A985),--('8. Transfers'!$J$9:$J$108="Matched"))+SUMPRODUCT(--(LEFT('8. Transfers'!$I$9:$I$108,7)=$A985),--('8. Transfers'!$J$9:$J$108="Matched"))+IF($O985="",0,COUNTIFS('9. Payroll Allocation'!$B$234:$B$253,$O985,'9. Payroll Allocation'!$H$234:$H$253,"Tied out"))&gt;0,"Linked","MISSING DETAIL")))</f>
        <v/>
      </c>
      <c r="T985" s="58" t="str">
        <f t="shared" si="142"/>
        <v/>
      </c>
      <c r="U985" s="59" t="str">
        <f>IF($T985="","",COUNTIF($T$6:$T985,"?*"))</f>
        <v/>
      </c>
      <c r="V985" s="58" t="str">
        <f t="shared" si="143"/>
        <v/>
      </c>
    </row>
    <row r="986" spans="1:22" ht="12.95" customHeight="1" x14ac:dyDescent="0.25">
      <c r="A986" s="52" t="str">
        <f t="shared" si="135"/>
        <v/>
      </c>
      <c r="B986" s="37"/>
      <c r="C986" s="28"/>
      <c r="D986" s="35"/>
      <c r="E986" s="38"/>
      <c r="F986" s="38"/>
      <c r="G986" s="52" t="str">
        <f t="shared" si="136"/>
        <v/>
      </c>
      <c r="H986" s="53" t="str">
        <f t="shared" si="137"/>
        <v/>
      </c>
      <c r="I986" s="40"/>
      <c r="J986" s="54" t="str">
        <f t="shared" si="138"/>
        <v/>
      </c>
      <c r="K986" s="41" t="str">
        <f t="shared" si="139"/>
        <v/>
      </c>
      <c r="L986" s="55"/>
      <c r="M986" s="56">
        <f t="shared" si="140"/>
        <v>0</v>
      </c>
      <c r="N986" s="56">
        <f t="shared" si="141"/>
        <v>0</v>
      </c>
      <c r="O986" s="57"/>
      <c r="P986" s="40"/>
      <c r="Q986" s="52" t="str">
        <f>IF($D986="","",IF($K986&lt;&gt;"Balance Sheet / Clearing","-",IF(SUMPRODUCT(--(LEFT('7. Settlements'!$J$8:$J$107,7)=$A986),--('7. Settlements'!$M$8:$M$107="Tied out"))+SUMPRODUCT(--(LEFT('8. Transfers'!$H$9:$H$108,7)=$A986),--('8. Transfers'!$J$9:$J$108="Matched"))+SUMPRODUCT(--(LEFT('8. Transfers'!$I$9:$I$108,7)=$A986),--('8. Transfers'!$J$9:$J$108="Matched"))+IF($O986="",0,COUNTIFS('9. Payroll Allocation'!$B$234:$B$253,$O986,'9. Payroll Allocation'!$H$234:$H$253,"Tied out"))&gt;0,"Linked","MISSING DETAIL")))</f>
        <v/>
      </c>
      <c r="T986" s="58" t="str">
        <f t="shared" si="142"/>
        <v/>
      </c>
      <c r="U986" s="59" t="str">
        <f>IF($T986="","",COUNTIF($T$6:$T986,"?*"))</f>
        <v/>
      </c>
      <c r="V986" s="58" t="str">
        <f t="shared" si="143"/>
        <v/>
      </c>
    </row>
    <row r="987" spans="1:22" ht="12.95" customHeight="1" x14ac:dyDescent="0.25">
      <c r="A987" s="60" t="str">
        <f t="shared" si="135"/>
        <v/>
      </c>
      <c r="B987" s="37"/>
      <c r="C987" s="28"/>
      <c r="D987" s="35"/>
      <c r="E987" s="38"/>
      <c r="F987" s="38"/>
      <c r="G987" s="60" t="str">
        <f t="shared" si="136"/>
        <v/>
      </c>
      <c r="H987" s="61" t="str">
        <f t="shared" si="137"/>
        <v/>
      </c>
      <c r="I987" s="40"/>
      <c r="J987" s="62" t="str">
        <f t="shared" si="138"/>
        <v/>
      </c>
      <c r="K987" s="45" t="str">
        <f t="shared" si="139"/>
        <v/>
      </c>
      <c r="L987" s="55"/>
      <c r="M987" s="63">
        <f t="shared" si="140"/>
        <v>0</v>
      </c>
      <c r="N987" s="63">
        <f t="shared" si="141"/>
        <v>0</v>
      </c>
      <c r="O987" s="57"/>
      <c r="P987" s="40"/>
      <c r="Q987" s="60" t="str">
        <f>IF($D987="","",IF($K987&lt;&gt;"Balance Sheet / Clearing","-",IF(SUMPRODUCT(--(LEFT('7. Settlements'!$J$8:$J$107,7)=$A987),--('7. Settlements'!$M$8:$M$107="Tied out"))+SUMPRODUCT(--(LEFT('8. Transfers'!$H$9:$H$108,7)=$A987),--('8. Transfers'!$J$9:$J$108="Matched"))+SUMPRODUCT(--(LEFT('8. Transfers'!$I$9:$I$108,7)=$A987),--('8. Transfers'!$J$9:$J$108="Matched"))+IF($O987="",0,COUNTIFS('9. Payroll Allocation'!$B$234:$B$253,$O987,'9. Payroll Allocation'!$H$234:$H$253,"Tied out"))&gt;0,"Linked","MISSING DETAIL")))</f>
        <v/>
      </c>
      <c r="T987" s="58" t="str">
        <f t="shared" si="142"/>
        <v/>
      </c>
      <c r="U987" s="59" t="str">
        <f>IF($T987="","",COUNTIF($T$6:$T987,"?*"))</f>
        <v/>
      </c>
      <c r="V987" s="58" t="str">
        <f t="shared" si="143"/>
        <v/>
      </c>
    </row>
    <row r="988" spans="1:22" ht="12.95" customHeight="1" x14ac:dyDescent="0.25">
      <c r="A988" s="52" t="str">
        <f t="shared" si="135"/>
        <v/>
      </c>
      <c r="B988" s="37"/>
      <c r="C988" s="28"/>
      <c r="D988" s="35"/>
      <c r="E988" s="38"/>
      <c r="F988" s="38"/>
      <c r="G988" s="52" t="str">
        <f t="shared" si="136"/>
        <v/>
      </c>
      <c r="H988" s="53" t="str">
        <f t="shared" si="137"/>
        <v/>
      </c>
      <c r="I988" s="40"/>
      <c r="J988" s="54" t="str">
        <f t="shared" si="138"/>
        <v/>
      </c>
      <c r="K988" s="41" t="str">
        <f t="shared" si="139"/>
        <v/>
      </c>
      <c r="L988" s="55"/>
      <c r="M988" s="56">
        <f t="shared" si="140"/>
        <v>0</v>
      </c>
      <c r="N988" s="56">
        <f t="shared" si="141"/>
        <v>0</v>
      </c>
      <c r="O988" s="57"/>
      <c r="P988" s="40"/>
      <c r="Q988" s="52" t="str">
        <f>IF($D988="","",IF($K988&lt;&gt;"Balance Sheet / Clearing","-",IF(SUMPRODUCT(--(LEFT('7. Settlements'!$J$8:$J$107,7)=$A988),--('7. Settlements'!$M$8:$M$107="Tied out"))+SUMPRODUCT(--(LEFT('8. Transfers'!$H$9:$H$108,7)=$A988),--('8. Transfers'!$J$9:$J$108="Matched"))+SUMPRODUCT(--(LEFT('8. Transfers'!$I$9:$I$108,7)=$A988),--('8. Transfers'!$J$9:$J$108="Matched"))+IF($O988="",0,COUNTIFS('9. Payroll Allocation'!$B$234:$B$253,$O988,'9. Payroll Allocation'!$H$234:$H$253,"Tied out"))&gt;0,"Linked","MISSING DETAIL")))</f>
        <v/>
      </c>
      <c r="T988" s="58" t="str">
        <f t="shared" si="142"/>
        <v/>
      </c>
      <c r="U988" s="59" t="str">
        <f>IF($T988="","",COUNTIF($T$6:$T988,"?*"))</f>
        <v/>
      </c>
      <c r="V988" s="58" t="str">
        <f t="shared" si="143"/>
        <v/>
      </c>
    </row>
    <row r="989" spans="1:22" ht="12.95" customHeight="1" x14ac:dyDescent="0.25">
      <c r="A989" s="60" t="str">
        <f t="shared" si="135"/>
        <v/>
      </c>
      <c r="B989" s="37"/>
      <c r="C989" s="28"/>
      <c r="D989" s="35"/>
      <c r="E989" s="38"/>
      <c r="F989" s="38"/>
      <c r="G989" s="60" t="str">
        <f t="shared" si="136"/>
        <v/>
      </c>
      <c r="H989" s="61" t="str">
        <f t="shared" si="137"/>
        <v/>
      </c>
      <c r="I989" s="40"/>
      <c r="J989" s="62" t="str">
        <f t="shared" si="138"/>
        <v/>
      </c>
      <c r="K989" s="45" t="str">
        <f t="shared" si="139"/>
        <v/>
      </c>
      <c r="L989" s="55"/>
      <c r="M989" s="63">
        <f t="shared" si="140"/>
        <v>0</v>
      </c>
      <c r="N989" s="63">
        <f t="shared" si="141"/>
        <v>0</v>
      </c>
      <c r="O989" s="57"/>
      <c r="P989" s="40"/>
      <c r="Q989" s="60" t="str">
        <f>IF($D989="","",IF($K989&lt;&gt;"Balance Sheet / Clearing","-",IF(SUMPRODUCT(--(LEFT('7. Settlements'!$J$8:$J$107,7)=$A989),--('7. Settlements'!$M$8:$M$107="Tied out"))+SUMPRODUCT(--(LEFT('8. Transfers'!$H$9:$H$108,7)=$A989),--('8. Transfers'!$J$9:$J$108="Matched"))+SUMPRODUCT(--(LEFT('8. Transfers'!$I$9:$I$108,7)=$A989),--('8. Transfers'!$J$9:$J$108="Matched"))+IF($O989="",0,COUNTIFS('9. Payroll Allocation'!$B$234:$B$253,$O989,'9. Payroll Allocation'!$H$234:$H$253,"Tied out"))&gt;0,"Linked","MISSING DETAIL")))</f>
        <v/>
      </c>
      <c r="T989" s="58" t="str">
        <f t="shared" si="142"/>
        <v/>
      </c>
      <c r="U989" s="59" t="str">
        <f>IF($T989="","",COUNTIF($T$6:$T989,"?*"))</f>
        <v/>
      </c>
      <c r="V989" s="58" t="str">
        <f t="shared" si="143"/>
        <v/>
      </c>
    </row>
    <row r="990" spans="1:22" ht="12.95" customHeight="1" x14ac:dyDescent="0.25">
      <c r="A990" s="52" t="str">
        <f t="shared" si="135"/>
        <v/>
      </c>
      <c r="B990" s="37"/>
      <c r="C990" s="28"/>
      <c r="D990" s="35"/>
      <c r="E990" s="38"/>
      <c r="F990" s="38"/>
      <c r="G990" s="52" t="str">
        <f t="shared" si="136"/>
        <v/>
      </c>
      <c r="H990" s="53" t="str">
        <f t="shared" si="137"/>
        <v/>
      </c>
      <c r="I990" s="40"/>
      <c r="J990" s="54" t="str">
        <f t="shared" si="138"/>
        <v/>
      </c>
      <c r="K990" s="41" t="str">
        <f t="shared" si="139"/>
        <v/>
      </c>
      <c r="L990" s="55"/>
      <c r="M990" s="56">
        <f t="shared" si="140"/>
        <v>0</v>
      </c>
      <c r="N990" s="56">
        <f t="shared" si="141"/>
        <v>0</v>
      </c>
      <c r="O990" s="57"/>
      <c r="P990" s="40"/>
      <c r="Q990" s="52" t="str">
        <f>IF($D990="","",IF($K990&lt;&gt;"Balance Sheet / Clearing","-",IF(SUMPRODUCT(--(LEFT('7. Settlements'!$J$8:$J$107,7)=$A990),--('7. Settlements'!$M$8:$M$107="Tied out"))+SUMPRODUCT(--(LEFT('8. Transfers'!$H$9:$H$108,7)=$A990),--('8. Transfers'!$J$9:$J$108="Matched"))+SUMPRODUCT(--(LEFT('8. Transfers'!$I$9:$I$108,7)=$A990),--('8. Transfers'!$J$9:$J$108="Matched"))+IF($O990="",0,COUNTIFS('9. Payroll Allocation'!$B$234:$B$253,$O990,'9. Payroll Allocation'!$H$234:$H$253,"Tied out"))&gt;0,"Linked","MISSING DETAIL")))</f>
        <v/>
      </c>
      <c r="T990" s="58" t="str">
        <f t="shared" si="142"/>
        <v/>
      </c>
      <c r="U990" s="59" t="str">
        <f>IF($T990="","",COUNTIF($T$6:$T990,"?*"))</f>
        <v/>
      </c>
      <c r="V990" s="58" t="str">
        <f t="shared" si="143"/>
        <v/>
      </c>
    </row>
    <row r="991" spans="1:22" ht="12.95" customHeight="1" x14ac:dyDescent="0.25">
      <c r="A991" s="60" t="str">
        <f t="shared" si="135"/>
        <v/>
      </c>
      <c r="B991" s="37"/>
      <c r="C991" s="28"/>
      <c r="D991" s="35"/>
      <c r="E991" s="38"/>
      <c r="F991" s="38"/>
      <c r="G991" s="60" t="str">
        <f t="shared" si="136"/>
        <v/>
      </c>
      <c r="H991" s="61" t="str">
        <f t="shared" si="137"/>
        <v/>
      </c>
      <c r="I991" s="40"/>
      <c r="J991" s="62" t="str">
        <f t="shared" si="138"/>
        <v/>
      </c>
      <c r="K991" s="45" t="str">
        <f t="shared" si="139"/>
        <v/>
      </c>
      <c r="L991" s="55"/>
      <c r="M991" s="63">
        <f t="shared" si="140"/>
        <v>0</v>
      </c>
      <c r="N991" s="63">
        <f t="shared" si="141"/>
        <v>0</v>
      </c>
      <c r="O991" s="57"/>
      <c r="P991" s="40"/>
      <c r="Q991" s="60" t="str">
        <f>IF($D991="","",IF($K991&lt;&gt;"Balance Sheet / Clearing","-",IF(SUMPRODUCT(--(LEFT('7. Settlements'!$J$8:$J$107,7)=$A991),--('7. Settlements'!$M$8:$M$107="Tied out"))+SUMPRODUCT(--(LEFT('8. Transfers'!$H$9:$H$108,7)=$A991),--('8. Transfers'!$J$9:$J$108="Matched"))+SUMPRODUCT(--(LEFT('8. Transfers'!$I$9:$I$108,7)=$A991),--('8. Transfers'!$J$9:$J$108="Matched"))+IF($O991="",0,COUNTIFS('9. Payroll Allocation'!$B$234:$B$253,$O991,'9. Payroll Allocation'!$H$234:$H$253,"Tied out"))&gt;0,"Linked","MISSING DETAIL")))</f>
        <v/>
      </c>
      <c r="T991" s="58" t="str">
        <f t="shared" si="142"/>
        <v/>
      </c>
      <c r="U991" s="59" t="str">
        <f>IF($T991="","",COUNTIF($T$6:$T991,"?*"))</f>
        <v/>
      </c>
      <c r="V991" s="58" t="str">
        <f t="shared" si="143"/>
        <v/>
      </c>
    </row>
    <row r="992" spans="1:22" ht="12.95" customHeight="1" x14ac:dyDescent="0.25">
      <c r="A992" s="52" t="str">
        <f t="shared" si="135"/>
        <v/>
      </c>
      <c r="B992" s="37"/>
      <c r="C992" s="28"/>
      <c r="D992" s="35"/>
      <c r="E992" s="38"/>
      <c r="F992" s="38"/>
      <c r="G992" s="52" t="str">
        <f t="shared" si="136"/>
        <v/>
      </c>
      <c r="H992" s="53" t="str">
        <f t="shared" si="137"/>
        <v/>
      </c>
      <c r="I992" s="40"/>
      <c r="J992" s="54" t="str">
        <f t="shared" si="138"/>
        <v/>
      </c>
      <c r="K992" s="41" t="str">
        <f t="shared" si="139"/>
        <v/>
      </c>
      <c r="L992" s="55"/>
      <c r="M992" s="56">
        <f t="shared" si="140"/>
        <v>0</v>
      </c>
      <c r="N992" s="56">
        <f t="shared" si="141"/>
        <v>0</v>
      </c>
      <c r="O992" s="57"/>
      <c r="P992" s="40"/>
      <c r="Q992" s="52" t="str">
        <f>IF($D992="","",IF($K992&lt;&gt;"Balance Sheet / Clearing","-",IF(SUMPRODUCT(--(LEFT('7. Settlements'!$J$8:$J$107,7)=$A992),--('7. Settlements'!$M$8:$M$107="Tied out"))+SUMPRODUCT(--(LEFT('8. Transfers'!$H$9:$H$108,7)=$A992),--('8. Transfers'!$J$9:$J$108="Matched"))+SUMPRODUCT(--(LEFT('8. Transfers'!$I$9:$I$108,7)=$A992),--('8. Transfers'!$J$9:$J$108="Matched"))+IF($O992="",0,COUNTIFS('9. Payroll Allocation'!$B$234:$B$253,$O992,'9. Payroll Allocation'!$H$234:$H$253,"Tied out"))&gt;0,"Linked","MISSING DETAIL")))</f>
        <v/>
      </c>
      <c r="T992" s="58" t="str">
        <f t="shared" si="142"/>
        <v/>
      </c>
      <c r="U992" s="59" t="str">
        <f>IF($T992="","",COUNTIF($T$6:$T992,"?*"))</f>
        <v/>
      </c>
      <c r="V992" s="58" t="str">
        <f t="shared" si="143"/>
        <v/>
      </c>
    </row>
    <row r="993" spans="1:22" ht="12.95" customHeight="1" x14ac:dyDescent="0.25">
      <c r="A993" s="60" t="str">
        <f t="shared" si="135"/>
        <v/>
      </c>
      <c r="B993" s="37"/>
      <c r="C993" s="28"/>
      <c r="D993" s="35"/>
      <c r="E993" s="38"/>
      <c r="F993" s="38"/>
      <c r="G993" s="60" t="str">
        <f t="shared" si="136"/>
        <v/>
      </c>
      <c r="H993" s="61" t="str">
        <f t="shared" si="137"/>
        <v/>
      </c>
      <c r="I993" s="40"/>
      <c r="J993" s="62" t="str">
        <f t="shared" si="138"/>
        <v/>
      </c>
      <c r="K993" s="45" t="str">
        <f t="shared" si="139"/>
        <v/>
      </c>
      <c r="L993" s="55"/>
      <c r="M993" s="63">
        <f t="shared" si="140"/>
        <v>0</v>
      </c>
      <c r="N993" s="63">
        <f t="shared" si="141"/>
        <v>0</v>
      </c>
      <c r="O993" s="57"/>
      <c r="P993" s="40"/>
      <c r="Q993" s="60" t="str">
        <f>IF($D993="","",IF($K993&lt;&gt;"Balance Sheet / Clearing","-",IF(SUMPRODUCT(--(LEFT('7. Settlements'!$J$8:$J$107,7)=$A993),--('7. Settlements'!$M$8:$M$107="Tied out"))+SUMPRODUCT(--(LEFT('8. Transfers'!$H$9:$H$108,7)=$A993),--('8. Transfers'!$J$9:$J$108="Matched"))+SUMPRODUCT(--(LEFT('8. Transfers'!$I$9:$I$108,7)=$A993),--('8. Transfers'!$J$9:$J$108="Matched"))+IF($O993="",0,COUNTIFS('9. Payroll Allocation'!$B$234:$B$253,$O993,'9. Payroll Allocation'!$H$234:$H$253,"Tied out"))&gt;0,"Linked","MISSING DETAIL")))</f>
        <v/>
      </c>
      <c r="T993" s="58" t="str">
        <f t="shared" si="142"/>
        <v/>
      </c>
      <c r="U993" s="59" t="str">
        <f>IF($T993="","",COUNTIF($T$6:$T993,"?*"))</f>
        <v/>
      </c>
      <c r="V993" s="58" t="str">
        <f t="shared" si="143"/>
        <v/>
      </c>
    </row>
    <row r="994" spans="1:22" ht="12.95" customHeight="1" x14ac:dyDescent="0.25">
      <c r="A994" s="52" t="str">
        <f t="shared" si="135"/>
        <v/>
      </c>
      <c r="B994" s="37"/>
      <c r="C994" s="28"/>
      <c r="D994" s="35"/>
      <c r="E994" s="38"/>
      <c r="F994" s="38"/>
      <c r="G994" s="52" t="str">
        <f t="shared" si="136"/>
        <v/>
      </c>
      <c r="H994" s="53" t="str">
        <f t="shared" si="137"/>
        <v/>
      </c>
      <c r="I994" s="40"/>
      <c r="J994" s="54" t="str">
        <f t="shared" si="138"/>
        <v/>
      </c>
      <c r="K994" s="41" t="str">
        <f t="shared" si="139"/>
        <v/>
      </c>
      <c r="L994" s="55"/>
      <c r="M994" s="56">
        <f t="shared" si="140"/>
        <v>0</v>
      </c>
      <c r="N994" s="56">
        <f t="shared" si="141"/>
        <v>0</v>
      </c>
      <c r="O994" s="57"/>
      <c r="P994" s="40"/>
      <c r="Q994" s="52" t="str">
        <f>IF($D994="","",IF($K994&lt;&gt;"Balance Sheet / Clearing","-",IF(SUMPRODUCT(--(LEFT('7. Settlements'!$J$8:$J$107,7)=$A994),--('7. Settlements'!$M$8:$M$107="Tied out"))+SUMPRODUCT(--(LEFT('8. Transfers'!$H$9:$H$108,7)=$A994),--('8. Transfers'!$J$9:$J$108="Matched"))+SUMPRODUCT(--(LEFT('8. Transfers'!$I$9:$I$108,7)=$A994),--('8. Transfers'!$J$9:$J$108="Matched"))+IF($O994="",0,COUNTIFS('9. Payroll Allocation'!$B$234:$B$253,$O994,'9. Payroll Allocation'!$H$234:$H$253,"Tied out"))&gt;0,"Linked","MISSING DETAIL")))</f>
        <v/>
      </c>
      <c r="T994" s="58" t="str">
        <f t="shared" si="142"/>
        <v/>
      </c>
      <c r="U994" s="59" t="str">
        <f>IF($T994="","",COUNTIF($T$6:$T994,"?*"))</f>
        <v/>
      </c>
      <c r="V994" s="58" t="str">
        <f t="shared" si="143"/>
        <v/>
      </c>
    </row>
    <row r="995" spans="1:22" ht="12.95" customHeight="1" x14ac:dyDescent="0.25">
      <c r="A995" s="60" t="str">
        <f t="shared" si="135"/>
        <v/>
      </c>
      <c r="B995" s="37"/>
      <c r="C995" s="28"/>
      <c r="D995" s="35"/>
      <c r="E995" s="38"/>
      <c r="F995" s="38"/>
      <c r="G995" s="60" t="str">
        <f t="shared" si="136"/>
        <v/>
      </c>
      <c r="H995" s="61" t="str">
        <f t="shared" si="137"/>
        <v/>
      </c>
      <c r="I995" s="40"/>
      <c r="J995" s="62" t="str">
        <f t="shared" si="138"/>
        <v/>
      </c>
      <c r="K995" s="45" t="str">
        <f t="shared" si="139"/>
        <v/>
      </c>
      <c r="L995" s="55"/>
      <c r="M995" s="63">
        <f t="shared" si="140"/>
        <v>0</v>
      </c>
      <c r="N995" s="63">
        <f t="shared" si="141"/>
        <v>0</v>
      </c>
      <c r="O995" s="57"/>
      <c r="P995" s="40"/>
      <c r="Q995" s="60" t="str">
        <f>IF($D995="","",IF($K995&lt;&gt;"Balance Sheet / Clearing","-",IF(SUMPRODUCT(--(LEFT('7. Settlements'!$J$8:$J$107,7)=$A995),--('7. Settlements'!$M$8:$M$107="Tied out"))+SUMPRODUCT(--(LEFT('8. Transfers'!$H$9:$H$108,7)=$A995),--('8. Transfers'!$J$9:$J$108="Matched"))+SUMPRODUCT(--(LEFT('8. Transfers'!$I$9:$I$108,7)=$A995),--('8. Transfers'!$J$9:$J$108="Matched"))+IF($O995="",0,COUNTIFS('9. Payroll Allocation'!$B$234:$B$253,$O995,'9. Payroll Allocation'!$H$234:$H$253,"Tied out"))&gt;0,"Linked","MISSING DETAIL")))</f>
        <v/>
      </c>
      <c r="T995" s="58" t="str">
        <f t="shared" si="142"/>
        <v/>
      </c>
      <c r="U995" s="59" t="str">
        <f>IF($T995="","",COUNTIF($T$6:$T995,"?*"))</f>
        <v/>
      </c>
      <c r="V995" s="58" t="str">
        <f t="shared" si="143"/>
        <v/>
      </c>
    </row>
    <row r="996" spans="1:22" ht="12.95" customHeight="1" x14ac:dyDescent="0.25">
      <c r="A996" s="52" t="str">
        <f t="shared" si="135"/>
        <v/>
      </c>
      <c r="B996" s="37"/>
      <c r="C996" s="28"/>
      <c r="D996" s="35"/>
      <c r="E996" s="38"/>
      <c r="F996" s="38"/>
      <c r="G996" s="52" t="str">
        <f t="shared" si="136"/>
        <v/>
      </c>
      <c r="H996" s="53" t="str">
        <f t="shared" si="137"/>
        <v/>
      </c>
      <c r="I996" s="40"/>
      <c r="J996" s="54" t="str">
        <f t="shared" si="138"/>
        <v/>
      </c>
      <c r="K996" s="41" t="str">
        <f t="shared" si="139"/>
        <v/>
      </c>
      <c r="L996" s="55"/>
      <c r="M996" s="56">
        <f t="shared" si="140"/>
        <v>0</v>
      </c>
      <c r="N996" s="56">
        <f t="shared" si="141"/>
        <v>0</v>
      </c>
      <c r="O996" s="57"/>
      <c r="P996" s="40"/>
      <c r="Q996" s="52" t="str">
        <f>IF($D996="","",IF($K996&lt;&gt;"Balance Sheet / Clearing","-",IF(SUMPRODUCT(--(LEFT('7. Settlements'!$J$8:$J$107,7)=$A996),--('7. Settlements'!$M$8:$M$107="Tied out"))+SUMPRODUCT(--(LEFT('8. Transfers'!$H$9:$H$108,7)=$A996),--('8. Transfers'!$J$9:$J$108="Matched"))+SUMPRODUCT(--(LEFT('8. Transfers'!$I$9:$I$108,7)=$A996),--('8. Transfers'!$J$9:$J$108="Matched"))+IF($O996="",0,COUNTIFS('9. Payroll Allocation'!$B$234:$B$253,$O996,'9. Payroll Allocation'!$H$234:$H$253,"Tied out"))&gt;0,"Linked","MISSING DETAIL")))</f>
        <v/>
      </c>
      <c r="T996" s="58" t="str">
        <f t="shared" si="142"/>
        <v/>
      </c>
      <c r="U996" s="59" t="str">
        <f>IF($T996="","",COUNTIF($T$6:$T996,"?*"))</f>
        <v/>
      </c>
      <c r="V996" s="58" t="str">
        <f t="shared" si="143"/>
        <v/>
      </c>
    </row>
    <row r="997" spans="1:22" ht="12.95" customHeight="1" x14ac:dyDescent="0.25">
      <c r="A997" s="60" t="str">
        <f t="shared" si="135"/>
        <v/>
      </c>
      <c r="B997" s="37"/>
      <c r="C997" s="28"/>
      <c r="D997" s="35"/>
      <c r="E997" s="38"/>
      <c r="F997" s="38"/>
      <c r="G997" s="60" t="str">
        <f t="shared" si="136"/>
        <v/>
      </c>
      <c r="H997" s="61" t="str">
        <f t="shared" si="137"/>
        <v/>
      </c>
      <c r="I997" s="40"/>
      <c r="J997" s="62" t="str">
        <f t="shared" si="138"/>
        <v/>
      </c>
      <c r="K997" s="45" t="str">
        <f t="shared" si="139"/>
        <v/>
      </c>
      <c r="L997" s="55"/>
      <c r="M997" s="63">
        <f t="shared" si="140"/>
        <v>0</v>
      </c>
      <c r="N997" s="63">
        <f t="shared" si="141"/>
        <v>0</v>
      </c>
      <c r="O997" s="57"/>
      <c r="P997" s="40"/>
      <c r="Q997" s="60" t="str">
        <f>IF($D997="","",IF($K997&lt;&gt;"Balance Sheet / Clearing","-",IF(SUMPRODUCT(--(LEFT('7. Settlements'!$J$8:$J$107,7)=$A997),--('7. Settlements'!$M$8:$M$107="Tied out"))+SUMPRODUCT(--(LEFT('8. Transfers'!$H$9:$H$108,7)=$A997),--('8. Transfers'!$J$9:$J$108="Matched"))+SUMPRODUCT(--(LEFT('8. Transfers'!$I$9:$I$108,7)=$A997),--('8. Transfers'!$J$9:$J$108="Matched"))+IF($O997="",0,COUNTIFS('9. Payroll Allocation'!$B$234:$B$253,$O997,'9. Payroll Allocation'!$H$234:$H$253,"Tied out"))&gt;0,"Linked","MISSING DETAIL")))</f>
        <v/>
      </c>
      <c r="T997" s="58" t="str">
        <f t="shared" si="142"/>
        <v/>
      </c>
      <c r="U997" s="59" t="str">
        <f>IF($T997="","",COUNTIF($T$6:$T997,"?*"))</f>
        <v/>
      </c>
      <c r="V997" s="58" t="str">
        <f t="shared" si="143"/>
        <v/>
      </c>
    </row>
    <row r="998" spans="1:22" ht="12.95" customHeight="1" x14ac:dyDescent="0.25">
      <c r="A998" s="52" t="str">
        <f t="shared" si="135"/>
        <v/>
      </c>
      <c r="B998" s="37"/>
      <c r="C998" s="28"/>
      <c r="D998" s="35"/>
      <c r="E998" s="38"/>
      <c r="F998" s="38"/>
      <c r="G998" s="52" t="str">
        <f t="shared" si="136"/>
        <v/>
      </c>
      <c r="H998" s="53" t="str">
        <f t="shared" si="137"/>
        <v/>
      </c>
      <c r="I998" s="40"/>
      <c r="J998" s="54" t="str">
        <f t="shared" si="138"/>
        <v/>
      </c>
      <c r="K998" s="41" t="str">
        <f t="shared" si="139"/>
        <v/>
      </c>
      <c r="L998" s="55"/>
      <c r="M998" s="56">
        <f t="shared" si="140"/>
        <v>0</v>
      </c>
      <c r="N998" s="56">
        <f t="shared" si="141"/>
        <v>0</v>
      </c>
      <c r="O998" s="57"/>
      <c r="P998" s="40"/>
      <c r="Q998" s="52" t="str">
        <f>IF($D998="","",IF($K998&lt;&gt;"Balance Sheet / Clearing","-",IF(SUMPRODUCT(--(LEFT('7. Settlements'!$J$8:$J$107,7)=$A998),--('7. Settlements'!$M$8:$M$107="Tied out"))+SUMPRODUCT(--(LEFT('8. Transfers'!$H$9:$H$108,7)=$A998),--('8. Transfers'!$J$9:$J$108="Matched"))+SUMPRODUCT(--(LEFT('8. Transfers'!$I$9:$I$108,7)=$A998),--('8. Transfers'!$J$9:$J$108="Matched"))+IF($O998="",0,COUNTIFS('9. Payroll Allocation'!$B$234:$B$253,$O998,'9. Payroll Allocation'!$H$234:$H$253,"Tied out"))&gt;0,"Linked","MISSING DETAIL")))</f>
        <v/>
      </c>
      <c r="T998" s="58" t="str">
        <f t="shared" si="142"/>
        <v/>
      </c>
      <c r="U998" s="59" t="str">
        <f>IF($T998="","",COUNTIF($T$6:$T998,"?*"))</f>
        <v/>
      </c>
      <c r="V998" s="58" t="str">
        <f t="shared" si="143"/>
        <v/>
      </c>
    </row>
    <row r="999" spans="1:22" ht="12.95" customHeight="1" x14ac:dyDescent="0.25">
      <c r="A999" s="60" t="str">
        <f t="shared" si="135"/>
        <v/>
      </c>
      <c r="B999" s="37"/>
      <c r="C999" s="28"/>
      <c r="D999" s="35"/>
      <c r="E999" s="38"/>
      <c r="F999" s="38"/>
      <c r="G999" s="60" t="str">
        <f t="shared" si="136"/>
        <v/>
      </c>
      <c r="H999" s="61" t="str">
        <f t="shared" si="137"/>
        <v/>
      </c>
      <c r="I999" s="40"/>
      <c r="J999" s="62" t="str">
        <f t="shared" si="138"/>
        <v/>
      </c>
      <c r="K999" s="45" t="str">
        <f t="shared" si="139"/>
        <v/>
      </c>
      <c r="L999" s="55"/>
      <c r="M999" s="63">
        <f t="shared" si="140"/>
        <v>0</v>
      </c>
      <c r="N999" s="63">
        <f t="shared" si="141"/>
        <v>0</v>
      </c>
      <c r="O999" s="57"/>
      <c r="P999" s="40"/>
      <c r="Q999" s="60" t="str">
        <f>IF($D999="","",IF($K999&lt;&gt;"Balance Sheet / Clearing","-",IF(SUMPRODUCT(--(LEFT('7. Settlements'!$J$8:$J$107,7)=$A999),--('7. Settlements'!$M$8:$M$107="Tied out"))+SUMPRODUCT(--(LEFT('8. Transfers'!$H$9:$H$108,7)=$A999),--('8. Transfers'!$J$9:$J$108="Matched"))+SUMPRODUCT(--(LEFT('8. Transfers'!$I$9:$I$108,7)=$A999),--('8. Transfers'!$J$9:$J$108="Matched"))+IF($O999="",0,COUNTIFS('9. Payroll Allocation'!$B$234:$B$253,$O999,'9. Payroll Allocation'!$H$234:$H$253,"Tied out"))&gt;0,"Linked","MISSING DETAIL")))</f>
        <v/>
      </c>
      <c r="T999" s="58" t="str">
        <f t="shared" si="142"/>
        <v/>
      </c>
      <c r="U999" s="59" t="str">
        <f>IF($T999="","",COUNTIF($T$6:$T999,"?*"))</f>
        <v/>
      </c>
      <c r="V999" s="58" t="str">
        <f t="shared" si="143"/>
        <v/>
      </c>
    </row>
    <row r="1000" spans="1:22" ht="12.95" customHeight="1" x14ac:dyDescent="0.25">
      <c r="A1000" s="52" t="str">
        <f t="shared" si="135"/>
        <v/>
      </c>
      <c r="B1000" s="37"/>
      <c r="C1000" s="28"/>
      <c r="D1000" s="35"/>
      <c r="E1000" s="38"/>
      <c r="F1000" s="38"/>
      <c r="G1000" s="52" t="str">
        <f t="shared" si="136"/>
        <v/>
      </c>
      <c r="H1000" s="53" t="str">
        <f t="shared" si="137"/>
        <v/>
      </c>
      <c r="I1000" s="40"/>
      <c r="J1000" s="54" t="str">
        <f t="shared" si="138"/>
        <v/>
      </c>
      <c r="K1000" s="41" t="str">
        <f t="shared" si="139"/>
        <v/>
      </c>
      <c r="L1000" s="55"/>
      <c r="M1000" s="56">
        <f t="shared" si="140"/>
        <v>0</v>
      </c>
      <c r="N1000" s="56">
        <f t="shared" si="141"/>
        <v>0</v>
      </c>
      <c r="O1000" s="57"/>
      <c r="P1000" s="40"/>
      <c r="Q1000" s="52" t="str">
        <f>IF($D1000="","",IF($K1000&lt;&gt;"Balance Sheet / Clearing","-",IF(SUMPRODUCT(--(LEFT('7. Settlements'!$J$8:$J$107,7)=$A1000),--('7. Settlements'!$M$8:$M$107="Tied out"))+SUMPRODUCT(--(LEFT('8. Transfers'!$H$9:$H$108,7)=$A1000),--('8. Transfers'!$J$9:$J$108="Matched"))+SUMPRODUCT(--(LEFT('8. Transfers'!$I$9:$I$108,7)=$A1000),--('8. Transfers'!$J$9:$J$108="Matched"))+IF($O1000="",0,COUNTIFS('9. Payroll Allocation'!$B$234:$B$253,$O1000,'9. Payroll Allocation'!$H$234:$H$253,"Tied out"))&gt;0,"Linked","MISSING DETAIL")))</f>
        <v/>
      </c>
      <c r="T1000" s="58" t="str">
        <f t="shared" si="142"/>
        <v/>
      </c>
      <c r="U1000" s="59" t="str">
        <f>IF($T1000="","",COUNTIF($T$6:$T1000,"?*"))</f>
        <v/>
      </c>
      <c r="V1000" s="58" t="str">
        <f t="shared" si="143"/>
        <v/>
      </c>
    </row>
    <row r="1001" spans="1:22" ht="12.95" customHeight="1" x14ac:dyDescent="0.25">
      <c r="A1001" s="60" t="str">
        <f t="shared" si="135"/>
        <v/>
      </c>
      <c r="B1001" s="37"/>
      <c r="C1001" s="28"/>
      <c r="D1001" s="35"/>
      <c r="E1001" s="38"/>
      <c r="F1001" s="38"/>
      <c r="G1001" s="60" t="str">
        <f t="shared" si="136"/>
        <v/>
      </c>
      <c r="H1001" s="61" t="str">
        <f t="shared" si="137"/>
        <v/>
      </c>
      <c r="I1001" s="40"/>
      <c r="J1001" s="62" t="str">
        <f t="shared" si="138"/>
        <v/>
      </c>
      <c r="K1001" s="45" t="str">
        <f t="shared" si="139"/>
        <v/>
      </c>
      <c r="L1001" s="55"/>
      <c r="M1001" s="63">
        <f t="shared" si="140"/>
        <v>0</v>
      </c>
      <c r="N1001" s="63">
        <f t="shared" si="141"/>
        <v>0</v>
      </c>
      <c r="O1001" s="57"/>
      <c r="P1001" s="40"/>
      <c r="Q1001" s="60" t="str">
        <f>IF($D1001="","",IF($K1001&lt;&gt;"Balance Sheet / Clearing","-",IF(SUMPRODUCT(--(LEFT('7. Settlements'!$J$8:$J$107,7)=$A1001),--('7. Settlements'!$M$8:$M$107="Tied out"))+SUMPRODUCT(--(LEFT('8. Transfers'!$H$9:$H$108,7)=$A1001),--('8. Transfers'!$J$9:$J$108="Matched"))+SUMPRODUCT(--(LEFT('8. Transfers'!$I$9:$I$108,7)=$A1001),--('8. Transfers'!$J$9:$J$108="Matched"))+IF($O1001="",0,COUNTIFS('9. Payroll Allocation'!$B$234:$B$253,$O1001,'9. Payroll Allocation'!$H$234:$H$253,"Tied out"))&gt;0,"Linked","MISSING DETAIL")))</f>
        <v/>
      </c>
      <c r="T1001" s="58" t="str">
        <f t="shared" si="142"/>
        <v/>
      </c>
      <c r="U1001" s="59" t="str">
        <f>IF($T1001="","",COUNTIF($T$6:$T1001,"?*"))</f>
        <v/>
      </c>
      <c r="V1001" s="58" t="str">
        <f t="shared" si="143"/>
        <v/>
      </c>
    </row>
    <row r="1002" spans="1:22" ht="12.95" customHeight="1" x14ac:dyDescent="0.25">
      <c r="A1002" s="52" t="str">
        <f t="shared" si="135"/>
        <v/>
      </c>
      <c r="B1002" s="37"/>
      <c r="C1002" s="28"/>
      <c r="D1002" s="35"/>
      <c r="E1002" s="38"/>
      <c r="F1002" s="38"/>
      <c r="G1002" s="52" t="str">
        <f t="shared" si="136"/>
        <v/>
      </c>
      <c r="H1002" s="53" t="str">
        <f t="shared" si="137"/>
        <v/>
      </c>
      <c r="I1002" s="40"/>
      <c r="J1002" s="54" t="str">
        <f t="shared" si="138"/>
        <v/>
      </c>
      <c r="K1002" s="41" t="str">
        <f t="shared" si="139"/>
        <v/>
      </c>
      <c r="L1002" s="55"/>
      <c r="M1002" s="56">
        <f t="shared" si="140"/>
        <v>0</v>
      </c>
      <c r="N1002" s="56">
        <f t="shared" si="141"/>
        <v>0</v>
      </c>
      <c r="O1002" s="57"/>
      <c r="P1002" s="40"/>
      <c r="Q1002" s="52" t="str">
        <f>IF($D1002="","",IF($K1002&lt;&gt;"Balance Sheet / Clearing","-",IF(SUMPRODUCT(--(LEFT('7. Settlements'!$J$8:$J$107,7)=$A1002),--('7. Settlements'!$M$8:$M$107="Tied out"))+SUMPRODUCT(--(LEFT('8. Transfers'!$H$9:$H$108,7)=$A1002),--('8. Transfers'!$J$9:$J$108="Matched"))+SUMPRODUCT(--(LEFT('8. Transfers'!$I$9:$I$108,7)=$A1002),--('8. Transfers'!$J$9:$J$108="Matched"))+IF($O1002="",0,COUNTIFS('9. Payroll Allocation'!$B$234:$B$253,$O1002,'9. Payroll Allocation'!$H$234:$H$253,"Tied out"))&gt;0,"Linked","MISSING DETAIL")))</f>
        <v/>
      </c>
      <c r="T1002" s="58" t="str">
        <f t="shared" si="142"/>
        <v/>
      </c>
      <c r="U1002" s="59" t="str">
        <f>IF($T1002="","",COUNTIF($T$6:$T1002,"?*"))</f>
        <v/>
      </c>
      <c r="V1002" s="58" t="str">
        <f t="shared" si="143"/>
        <v/>
      </c>
    </row>
    <row r="1003" spans="1:22" ht="12.95" customHeight="1" x14ac:dyDescent="0.25">
      <c r="A1003" s="60" t="str">
        <f t="shared" si="135"/>
        <v/>
      </c>
      <c r="B1003" s="37"/>
      <c r="C1003" s="28"/>
      <c r="D1003" s="35"/>
      <c r="E1003" s="38"/>
      <c r="F1003" s="38"/>
      <c r="G1003" s="60" t="str">
        <f t="shared" si="136"/>
        <v/>
      </c>
      <c r="H1003" s="61" t="str">
        <f t="shared" si="137"/>
        <v/>
      </c>
      <c r="I1003" s="40"/>
      <c r="J1003" s="62" t="str">
        <f t="shared" si="138"/>
        <v/>
      </c>
      <c r="K1003" s="45" t="str">
        <f t="shared" si="139"/>
        <v/>
      </c>
      <c r="L1003" s="55"/>
      <c r="M1003" s="63">
        <f t="shared" si="140"/>
        <v>0</v>
      </c>
      <c r="N1003" s="63">
        <f t="shared" si="141"/>
        <v>0</v>
      </c>
      <c r="O1003" s="57"/>
      <c r="P1003" s="40"/>
      <c r="Q1003" s="60" t="str">
        <f>IF($D1003="","",IF($K1003&lt;&gt;"Balance Sheet / Clearing","-",IF(SUMPRODUCT(--(LEFT('7. Settlements'!$J$8:$J$107,7)=$A1003),--('7. Settlements'!$M$8:$M$107="Tied out"))+SUMPRODUCT(--(LEFT('8. Transfers'!$H$9:$H$108,7)=$A1003),--('8. Transfers'!$J$9:$J$108="Matched"))+SUMPRODUCT(--(LEFT('8. Transfers'!$I$9:$I$108,7)=$A1003),--('8. Transfers'!$J$9:$J$108="Matched"))+IF($O1003="",0,COUNTIFS('9. Payroll Allocation'!$B$234:$B$253,$O1003,'9. Payroll Allocation'!$H$234:$H$253,"Tied out"))&gt;0,"Linked","MISSING DETAIL")))</f>
        <v/>
      </c>
      <c r="T1003" s="58" t="str">
        <f t="shared" si="142"/>
        <v/>
      </c>
      <c r="U1003" s="59" t="str">
        <f>IF($T1003="","",COUNTIF($T$6:$T1003,"?*"))</f>
        <v/>
      </c>
      <c r="V1003" s="58" t="str">
        <f t="shared" si="143"/>
        <v/>
      </c>
    </row>
    <row r="1004" spans="1:22" ht="12.95" customHeight="1" x14ac:dyDescent="0.25">
      <c r="A1004" s="52" t="str">
        <f t="shared" si="135"/>
        <v/>
      </c>
      <c r="B1004" s="37"/>
      <c r="C1004" s="28"/>
      <c r="D1004" s="35"/>
      <c r="E1004" s="38"/>
      <c r="F1004" s="38"/>
      <c r="G1004" s="52" t="str">
        <f t="shared" si="136"/>
        <v/>
      </c>
      <c r="H1004" s="53" t="str">
        <f t="shared" si="137"/>
        <v/>
      </c>
      <c r="I1004" s="40"/>
      <c r="J1004" s="54" t="str">
        <f t="shared" si="138"/>
        <v/>
      </c>
      <c r="K1004" s="41" t="str">
        <f t="shared" si="139"/>
        <v/>
      </c>
      <c r="L1004" s="55"/>
      <c r="M1004" s="56">
        <f t="shared" si="140"/>
        <v>0</v>
      </c>
      <c r="N1004" s="56">
        <f t="shared" si="141"/>
        <v>0</v>
      </c>
      <c r="O1004" s="57"/>
      <c r="P1004" s="40"/>
      <c r="Q1004" s="52" t="str">
        <f>IF($D1004="","",IF($K1004&lt;&gt;"Balance Sheet / Clearing","-",IF(SUMPRODUCT(--(LEFT('7. Settlements'!$J$8:$J$107,7)=$A1004),--('7. Settlements'!$M$8:$M$107="Tied out"))+SUMPRODUCT(--(LEFT('8. Transfers'!$H$9:$H$108,7)=$A1004),--('8. Transfers'!$J$9:$J$108="Matched"))+SUMPRODUCT(--(LEFT('8. Transfers'!$I$9:$I$108,7)=$A1004),--('8. Transfers'!$J$9:$J$108="Matched"))+IF($O1004="",0,COUNTIFS('9. Payroll Allocation'!$B$234:$B$253,$O1004,'9. Payroll Allocation'!$H$234:$H$253,"Tied out"))&gt;0,"Linked","MISSING DETAIL")))</f>
        <v/>
      </c>
      <c r="T1004" s="58" t="str">
        <f t="shared" si="142"/>
        <v/>
      </c>
      <c r="U1004" s="59" t="str">
        <f>IF($T1004="","",COUNTIF($T$6:$T1004,"?*"))</f>
        <v/>
      </c>
      <c r="V1004" s="58" t="str">
        <f t="shared" si="143"/>
        <v/>
      </c>
    </row>
    <row r="1005" spans="1:22" ht="12.95" customHeight="1" x14ac:dyDescent="0.25">
      <c r="A1005" s="60" t="str">
        <f t="shared" si="135"/>
        <v/>
      </c>
      <c r="B1005" s="37"/>
      <c r="C1005" s="28"/>
      <c r="D1005" s="35"/>
      <c r="E1005" s="38"/>
      <c r="F1005" s="38"/>
      <c r="G1005" s="60" t="str">
        <f t="shared" si="136"/>
        <v/>
      </c>
      <c r="H1005" s="61" t="str">
        <f t="shared" si="137"/>
        <v/>
      </c>
      <c r="I1005" s="40"/>
      <c r="J1005" s="62" t="str">
        <f t="shared" si="138"/>
        <v/>
      </c>
      <c r="K1005" s="45" t="str">
        <f t="shared" si="139"/>
        <v/>
      </c>
      <c r="L1005" s="55"/>
      <c r="M1005" s="63">
        <f t="shared" si="140"/>
        <v>0</v>
      </c>
      <c r="N1005" s="63">
        <f t="shared" si="141"/>
        <v>0</v>
      </c>
      <c r="O1005" s="57"/>
      <c r="P1005" s="40"/>
      <c r="Q1005" s="60" t="str">
        <f>IF($D1005="","",IF($K1005&lt;&gt;"Balance Sheet / Clearing","-",IF(SUMPRODUCT(--(LEFT('7. Settlements'!$J$8:$J$107,7)=$A1005),--('7. Settlements'!$M$8:$M$107="Tied out"))+SUMPRODUCT(--(LEFT('8. Transfers'!$H$9:$H$108,7)=$A1005),--('8. Transfers'!$J$9:$J$108="Matched"))+SUMPRODUCT(--(LEFT('8. Transfers'!$I$9:$I$108,7)=$A1005),--('8. Transfers'!$J$9:$J$108="Matched"))+IF($O1005="",0,COUNTIFS('9. Payroll Allocation'!$B$234:$B$253,$O1005,'9. Payroll Allocation'!$H$234:$H$253,"Tied out"))&gt;0,"Linked","MISSING DETAIL")))</f>
        <v/>
      </c>
      <c r="T1005" s="58" t="str">
        <f t="shared" si="142"/>
        <v/>
      </c>
      <c r="U1005" s="59" t="str">
        <f>IF($T1005="","",COUNTIF($T$6:$T1005,"?*"))</f>
        <v/>
      </c>
      <c r="V1005" s="58" t="str">
        <f t="shared" si="143"/>
        <v/>
      </c>
    </row>
    <row r="1006" spans="1:22" ht="17.100000000000001" customHeight="1" x14ac:dyDescent="0.25">
      <c r="A1006" s="197" t="s">
        <v>209</v>
      </c>
      <c r="B1006" s="173"/>
      <c r="C1006" s="173"/>
      <c r="D1006" s="173"/>
      <c r="E1006" s="173"/>
      <c r="F1006" s="173"/>
      <c r="G1006" s="173"/>
      <c r="H1006" s="173"/>
      <c r="I1006" s="173"/>
      <c r="J1006" s="173"/>
      <c r="K1006" s="173"/>
      <c r="L1006" s="173"/>
      <c r="M1006" s="173"/>
      <c r="N1006" s="173"/>
      <c r="O1006" s="173"/>
      <c r="P1006" s="173"/>
    </row>
    <row r="1007" spans="1:22" x14ac:dyDescent="0.25">
      <c r="A1007" s="190" t="s">
        <v>112</v>
      </c>
      <c r="B1007" s="191"/>
      <c r="C1007" s="30">
        <f>SUMPRODUCT(--('6. Transactions'!$D$6:$D$1005&lt;&gt;""))</f>
        <v>0</v>
      </c>
    </row>
    <row r="1008" spans="1:22" x14ac:dyDescent="0.25">
      <c r="A1008" s="190" t="s">
        <v>113</v>
      </c>
      <c r="B1008" s="191"/>
      <c r="C1008" s="30">
        <v>1000</v>
      </c>
    </row>
    <row r="1009" spans="1:17" x14ac:dyDescent="0.25">
      <c r="A1009" s="190" t="s">
        <v>114</v>
      </c>
      <c r="B1009" s="191"/>
      <c r="C1009" s="30">
        <f>MAX(0,1000-$C$1007)</f>
        <v>1000</v>
      </c>
    </row>
    <row r="1010" spans="1:17" x14ac:dyDescent="0.25">
      <c r="A1010" s="194" t="s">
        <v>115</v>
      </c>
      <c r="B1010" s="191"/>
      <c r="C1010" s="31" t="str">
        <f>IF($C$1009&lt;=0,"FULL - no more rows can be entered",IF($C$1009&lt;=100,"NEARLY FULL - contact Powell United","OK"))</f>
        <v>OK</v>
      </c>
      <c r="D1010" s="193" t="s">
        <v>210</v>
      </c>
      <c r="E1010" s="173"/>
      <c r="F1010" s="173"/>
      <c r="G1010" s="173"/>
      <c r="H1010" s="173"/>
      <c r="I1010" s="173"/>
      <c r="J1010" s="173"/>
      <c r="K1010" s="173"/>
      <c r="L1010" s="173"/>
      <c r="M1010" s="173"/>
      <c r="N1010" s="173"/>
      <c r="O1010" s="173"/>
      <c r="P1010" s="173"/>
    </row>
    <row r="1011" spans="1:17" ht="8.1" customHeight="1" x14ac:dyDescent="0.25"/>
    <row r="1012" spans="1:17" ht="8.1" customHeight="1" x14ac:dyDescent="0.25"/>
    <row r="1013" spans="1:17" ht="15.6" customHeight="1" x14ac:dyDescent="0.25">
      <c r="A1013" s="187" t="s">
        <v>69</v>
      </c>
      <c r="B1013" s="173"/>
      <c r="C1013" s="173"/>
      <c r="D1013" s="173"/>
      <c r="E1013" s="173"/>
      <c r="F1013" s="173"/>
      <c r="G1013" s="173"/>
      <c r="H1013" s="173"/>
      <c r="I1013" s="173"/>
      <c r="J1013" s="173"/>
      <c r="K1013" s="173"/>
      <c r="L1013" s="173"/>
      <c r="M1013" s="173"/>
      <c r="N1013" s="173"/>
      <c r="O1013" s="173"/>
      <c r="P1013" s="173"/>
      <c r="Q1013" s="173"/>
    </row>
  </sheetData>
  <sheetProtection sheet="1" formatCells="0" formatColumns="0" formatRows="0" insertRows="0" deleteRows="0"/>
  <autoFilter ref="A5:Q1005" xr:uid="{00000000-0009-0000-0000-000005000000}"/>
  <mergeCells count="11">
    <mergeCell ref="A2:Q2"/>
    <mergeCell ref="A1013:Q1013"/>
    <mergeCell ref="A1010:B1010"/>
    <mergeCell ref="A1:Q1"/>
    <mergeCell ref="A1009:B1009"/>
    <mergeCell ref="D1010:P1010"/>
    <mergeCell ref="A3:Q3"/>
    <mergeCell ref="A1006:P1006"/>
    <mergeCell ref="A1008:B1008"/>
    <mergeCell ref="A1007:B1007"/>
    <mergeCell ref="A4:Q4"/>
  </mergeCells>
  <conditionalFormatting sqref="C6:C1005">
    <cfRule type="expression" dxfId="60" priority="5">
      <formula>AND($D6&lt;&gt;"",$C6="")</formula>
    </cfRule>
  </conditionalFormatting>
  <conditionalFormatting sqref="C1010">
    <cfRule type="cellIs" dxfId="59" priority="6" operator="equal">
      <formula>"FULL - no more rows can be entered"</formula>
    </cfRule>
    <cfRule type="cellIs" dxfId="58" priority="7" operator="equal">
      <formula>"NEARLY FULL - contact Powell United"</formula>
    </cfRule>
    <cfRule type="cellIs" dxfId="57" priority="8" operator="equal">
      <formula>"OK"</formula>
    </cfRule>
  </conditionalFormatting>
  <conditionalFormatting sqref="E6:F1005">
    <cfRule type="expression" dxfId="56" priority="4">
      <formula>AND(N($E6)&gt;0,N($F6)&gt;0)</formula>
    </cfRule>
  </conditionalFormatting>
  <conditionalFormatting sqref="K6:K1005">
    <cfRule type="cellIs" dxfId="55" priority="2" operator="equal">
      <formula>"Review Required"</formula>
    </cfRule>
    <cfRule type="cellIs" dxfId="54" priority="3" operator="equal">
      <formula>"Uncategorized"</formula>
    </cfRule>
  </conditionalFormatting>
  <conditionalFormatting sqref="L6:L1005">
    <cfRule type="expression" dxfId="53" priority="1">
      <formula>AND($L6&lt;&gt;"",OR(N($L6)&lt;0,N($L6)&gt;1))</formula>
    </cfRule>
  </conditionalFormatting>
  <conditionalFormatting sqref="Q6:Q1005">
    <cfRule type="cellIs" dxfId="52" priority="9" operator="equal">
      <formula>"MISSING DETAIL"</formula>
    </cfRule>
  </conditionalFormatting>
  <dataValidations count="6">
    <dataValidation type="list" allowBlank="1" showInputMessage="1" promptTitle="Account" prompt="Must be an account from the Accounts sheet." sqref="C6:C1005" xr:uid="{00000000-0002-0000-0500-000000000000}">
      <formula1>Acct_Name</formula1>
    </dataValidation>
    <dataValidation type="list" allowBlank="1" showInputMessage="1" promptTitle="Your category" prompt="Only fill this in when the suggestion is wrong. It always wins, and it survives recalculation. If nothing fits, use one of the five at the TOP of the list - that parks the row instead of guessing at it." sqref="I6:I1005" xr:uid="{00000000-0002-0000-0500-000001000000}">
      <formula1>Cat_Pick</formula1>
    </dataValidation>
    <dataValidation type="decimal" operator="greaterThanOrEqual" allowBlank="1" showErrorMessage="1" errorTitle="Amount must be zero or positive" error="Enter a positive number. Money In and Money Out are separate columns, so amounts are never negative." sqref="E6:F1005" xr:uid="{00000000-0002-0000-0500-000002000000}">
      <formula1>0</formula1>
    </dataValidation>
    <dataValidation type="decimal" allowBlank="1" showInputMessage="1" showErrorMessage="1" errorTitle="Business % must be between 0% and 100%" error="Enter a percentage - type 80% or 0.8, not 80. Leave blank for 100%." promptTitle="Business use %" prompt="Only if the expense is part personal. Type 80% or 0.8 for 80%. Blank means 100% business." sqref="L6:L1005" xr:uid="{00000000-0002-0000-0500-000004000000}">
      <formula1>0</formula1>
      <formula2>1</formula2>
    </dataValidation>
    <dataValidation type="list" allowBlank="1" showInputMessage="1" promptTitle="Link to a pay run" prompt="Only for a payroll withdrawal. Choose the pay run this row belongs to." sqref="O6:O1005" xr:uid="{00000000-0002-0000-0500-000005000000}">
      <formula1>Pay_Run</formula1>
    </dataValidation>
    <dataValidation type="date" allowBlank="1" showErrorMessage="1" errorTitle="Enter a real date" error="Use a date, for example 03/14/2026." sqref="B6:B1005" xr:uid="{00000000-0002-0000-0500-000006000000}">
      <formula1>DATE(2000,1,1)</formula1>
      <formula2>DATE(2100,12,31)</formula2>
    </dataValidation>
  </dataValidations>
  <pageMargins left="0.75" right="0.75" top="1" bottom="1" header="0.5" footer="0.5"/>
  <legacy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B0F0"/>
  </sheetPr>
  <dimension ref="A1:P117"/>
  <sheetViews>
    <sheetView showGridLines="0" workbookViewId="0">
      <pane ySplit="7" topLeftCell="A8" activePane="bottomLeft" state="frozen"/>
      <selection pane="bottomLeft"/>
    </sheetView>
  </sheetViews>
  <sheetFormatPr defaultRowHeight="15" x14ac:dyDescent="0.25"/>
  <cols>
    <col min="1" max="1" width="3" customWidth="1"/>
    <col min="2" max="2" width="13" customWidth="1"/>
    <col min="3" max="3" width="11" customWidth="1"/>
    <col min="4" max="4" width="22" customWidth="1"/>
    <col min="5" max="5" width="14" customWidth="1"/>
    <col min="6" max="6" width="13" customWidth="1"/>
    <col min="7" max="7" width="14" customWidth="1"/>
    <col min="8" max="8" width="13" customWidth="1"/>
    <col min="9" max="9" width="14" customWidth="1"/>
    <col min="10" max="10" width="44" customWidth="1"/>
    <col min="11" max="11" width="14" customWidth="1"/>
    <col min="12" max="12" width="12" customWidth="1"/>
    <col min="13" max="13" width="16" customWidth="1"/>
    <col min="14" max="14" width="14" customWidth="1"/>
    <col min="15" max="15" width="13" customWidth="1"/>
    <col min="16" max="16" width="34" customWidth="1"/>
  </cols>
  <sheetData>
    <row r="1" spans="1:16" ht="27.95" customHeight="1" x14ac:dyDescent="0.25">
      <c r="A1" s="174" t="s">
        <v>211</v>
      </c>
      <c r="B1" s="173"/>
      <c r="C1" s="173"/>
      <c r="D1" s="173"/>
      <c r="E1" s="173"/>
      <c r="F1" s="173"/>
      <c r="G1" s="173"/>
      <c r="H1" s="173"/>
      <c r="I1" s="173"/>
      <c r="J1" s="173"/>
      <c r="K1" s="173"/>
      <c r="L1" s="173"/>
      <c r="M1" s="173"/>
      <c r="N1" s="173"/>
      <c r="O1" s="173"/>
      <c r="P1" s="173"/>
    </row>
    <row r="2" spans="1:16" ht="17.100000000000001" customHeight="1" x14ac:dyDescent="0.25">
      <c r="A2" s="188" t="s">
        <v>212</v>
      </c>
      <c r="B2" s="173"/>
      <c r="C2" s="173"/>
      <c r="D2" s="173"/>
      <c r="E2" s="173"/>
      <c r="F2" s="173"/>
      <c r="G2" s="173"/>
      <c r="H2" s="173"/>
      <c r="I2" s="173"/>
      <c r="J2" s="173"/>
      <c r="K2" s="173"/>
      <c r="L2" s="173"/>
      <c r="M2" s="173"/>
      <c r="N2" s="173"/>
      <c r="O2" s="173"/>
      <c r="P2" s="173"/>
    </row>
    <row r="3" spans="1:16" ht="14.1" customHeight="1" x14ac:dyDescent="0.25">
      <c r="A3" s="179" t="s">
        <v>2</v>
      </c>
      <c r="B3" s="173"/>
      <c r="C3" s="173"/>
      <c r="D3" s="173"/>
      <c r="E3" s="173"/>
      <c r="F3" s="173"/>
      <c r="G3" s="173"/>
      <c r="H3" s="173"/>
      <c r="I3" s="173"/>
      <c r="J3" s="173"/>
      <c r="K3" s="173"/>
      <c r="L3" s="173"/>
      <c r="M3" s="173"/>
      <c r="N3" s="173"/>
      <c r="O3" s="173"/>
      <c r="P3" s="173"/>
    </row>
    <row r="4" spans="1:16" ht="8.1" customHeight="1" x14ac:dyDescent="0.25"/>
    <row r="5" spans="1:16" ht="16.350000000000001" customHeight="1" x14ac:dyDescent="0.25">
      <c r="A5" s="192" t="s">
        <v>213</v>
      </c>
      <c r="B5" s="173"/>
      <c r="C5" s="173"/>
      <c r="D5" s="173"/>
      <c r="E5" s="173"/>
      <c r="F5" s="173"/>
      <c r="G5" s="173"/>
      <c r="H5" s="173"/>
      <c r="I5" s="173"/>
      <c r="J5" s="173"/>
      <c r="K5" s="173"/>
      <c r="L5" s="173"/>
      <c r="M5" s="173"/>
      <c r="N5" s="173"/>
      <c r="O5" s="173"/>
      <c r="P5" s="173"/>
    </row>
    <row r="6" spans="1:16" ht="96.6" customHeight="1" x14ac:dyDescent="0.25">
      <c r="A6" s="215" t="s">
        <v>214</v>
      </c>
      <c r="B6" s="173"/>
      <c r="C6" s="173"/>
      <c r="D6" s="173"/>
      <c r="E6" s="173"/>
      <c r="F6" s="173"/>
      <c r="G6" s="173"/>
      <c r="H6" s="173"/>
      <c r="I6" s="173"/>
      <c r="J6" s="173"/>
      <c r="K6" s="173"/>
      <c r="L6" s="173"/>
      <c r="M6" s="173"/>
      <c r="N6" s="173"/>
      <c r="O6" s="173"/>
      <c r="P6" s="173"/>
    </row>
    <row r="7" spans="1:16" ht="39.950000000000003" customHeight="1" x14ac:dyDescent="0.25">
      <c r="A7" s="27"/>
      <c r="B7" s="27" t="s">
        <v>215</v>
      </c>
      <c r="C7" s="27" t="s">
        <v>159</v>
      </c>
      <c r="D7" s="27" t="s">
        <v>216</v>
      </c>
      <c r="E7" s="27" t="s">
        <v>217</v>
      </c>
      <c r="F7" s="27" t="s">
        <v>218</v>
      </c>
      <c r="G7" s="27" t="s">
        <v>219</v>
      </c>
      <c r="H7" s="27" t="s">
        <v>220</v>
      </c>
      <c r="I7" s="27" t="s">
        <v>221</v>
      </c>
      <c r="J7" s="27" t="s">
        <v>222</v>
      </c>
      <c r="K7" s="27" t="s">
        <v>223</v>
      </c>
      <c r="L7" s="27" t="s">
        <v>224</v>
      </c>
      <c r="M7" s="27" t="s">
        <v>225</v>
      </c>
      <c r="N7" s="27" t="s">
        <v>226</v>
      </c>
      <c r="O7" s="27" t="s">
        <v>227</v>
      </c>
      <c r="P7" s="27" t="s">
        <v>204</v>
      </c>
    </row>
    <row r="8" spans="1:16" x14ac:dyDescent="0.25">
      <c r="B8" s="64" t="str">
        <f t="shared" ref="B8:B39" si="0">IF(OR($C8="",$D8=""),"","S-"&amp;TEXT($C8,"yymmdd")&amp;"-"&amp;UPPER(LEFT($D8,3)))</f>
        <v/>
      </c>
      <c r="C8" s="37"/>
      <c r="D8" s="28"/>
      <c r="E8" s="38"/>
      <c r="F8" s="38"/>
      <c r="G8" s="38"/>
      <c r="H8" s="38"/>
      <c r="I8" s="65" t="str">
        <f t="shared" ref="I8:I39" si="1">IF($B8="","",ROUND(N($E8)-N($F8)-N($G8)+N($H8),2))</f>
        <v/>
      </c>
      <c r="J8" s="40"/>
      <c r="K8" s="56" t="str">
        <f t="shared" ref="K8:K39" si="2">IF($J8="","",IFERROR(INDEX(Txn_In,MATCH(LEFT($J8,7),Txn_ID,0))-INDEX(Txn_Out,MATCH(LEFT($J8,7),Txn_ID,0)),"TXN NOT FOUND"))</f>
        <v/>
      </c>
      <c r="L8" s="65" t="str">
        <f t="shared" ref="L8:L39" si="3">IF(OR($B8="",$J8="",NOT(ISNUMBER($K8))),"",ROUND($I8-$K8,2))</f>
        <v/>
      </c>
      <c r="M8" s="66" t="str">
        <f t="shared" ref="M8:M39" si="4">IF($B8="","",IF($J8="","Link a Txn ID",IF(NOT(ISNUMBER($K8)),"TXN NOT FOUND",IF(AND(N($E8)=0,N($F8)=0,N($G8)=0,N($H8)=0),"NO SETTLEMENT AMOUNTS ENTERED",IF(SUMPRODUCT(--(LEFT($J$8:$J$107,7)=LEFT($J8,7)))&gt;1,"DUPLICATE LINK",IF(IFERROR(INDEX(Txn_Treat,MATCH(LEFT($J8,7),Txn_ID,0)),"")&lt;&gt;"Balance Sheet / Clearing","WRONG CATEGORY - must be clearing",IF(ABS(N($L8))&lt;0.005,"Tied out","CHECK SETTLEMENT")))))))</f>
        <v/>
      </c>
      <c r="N8" s="56" t="str">
        <f t="shared" ref="N8:N39" si="5">IF($B8="","",IF($M8&lt;&gt;"Tied out",0,ROUND(N($E8)-N($G8),2)))</f>
        <v/>
      </c>
      <c r="O8" s="56" t="str">
        <f t="shared" ref="O8:O39" si="6">IF($B8="","",IF($M8&lt;&gt;"Tied out",0,ROUND(N($F8),2)))</f>
        <v/>
      </c>
      <c r="P8" s="40"/>
    </row>
    <row r="9" spans="1:16" x14ac:dyDescent="0.25">
      <c r="B9" s="67" t="str">
        <f t="shared" si="0"/>
        <v/>
      </c>
      <c r="C9" s="37"/>
      <c r="D9" s="28"/>
      <c r="E9" s="38"/>
      <c r="F9" s="38"/>
      <c r="G9" s="38"/>
      <c r="H9" s="38"/>
      <c r="I9" s="68" t="str">
        <f t="shared" si="1"/>
        <v/>
      </c>
      <c r="J9" s="40"/>
      <c r="K9" s="63" t="str">
        <f t="shared" si="2"/>
        <v/>
      </c>
      <c r="L9" s="68" t="str">
        <f t="shared" si="3"/>
        <v/>
      </c>
      <c r="M9" s="69" t="str">
        <f t="shared" si="4"/>
        <v/>
      </c>
      <c r="N9" s="63" t="str">
        <f t="shared" si="5"/>
        <v/>
      </c>
      <c r="O9" s="63" t="str">
        <f t="shared" si="6"/>
        <v/>
      </c>
      <c r="P9" s="40"/>
    </row>
    <row r="10" spans="1:16" x14ac:dyDescent="0.25">
      <c r="B10" s="64" t="str">
        <f t="shared" si="0"/>
        <v/>
      </c>
      <c r="C10" s="37"/>
      <c r="D10" s="28"/>
      <c r="E10" s="38"/>
      <c r="F10" s="38"/>
      <c r="G10" s="38"/>
      <c r="H10" s="38"/>
      <c r="I10" s="65" t="str">
        <f t="shared" si="1"/>
        <v/>
      </c>
      <c r="J10" s="40"/>
      <c r="K10" s="56" t="str">
        <f t="shared" si="2"/>
        <v/>
      </c>
      <c r="L10" s="65" t="str">
        <f t="shared" si="3"/>
        <v/>
      </c>
      <c r="M10" s="66" t="str">
        <f t="shared" si="4"/>
        <v/>
      </c>
      <c r="N10" s="56" t="str">
        <f t="shared" si="5"/>
        <v/>
      </c>
      <c r="O10" s="56" t="str">
        <f t="shared" si="6"/>
        <v/>
      </c>
      <c r="P10" s="40"/>
    </row>
    <row r="11" spans="1:16" x14ac:dyDescent="0.25">
      <c r="B11" s="67" t="str">
        <f t="shared" si="0"/>
        <v/>
      </c>
      <c r="C11" s="37"/>
      <c r="D11" s="28"/>
      <c r="E11" s="38"/>
      <c r="F11" s="38"/>
      <c r="G11" s="38"/>
      <c r="H11" s="38"/>
      <c r="I11" s="68" t="str">
        <f t="shared" si="1"/>
        <v/>
      </c>
      <c r="J11" s="40"/>
      <c r="K11" s="63" t="str">
        <f t="shared" si="2"/>
        <v/>
      </c>
      <c r="L11" s="68" t="str">
        <f t="shared" si="3"/>
        <v/>
      </c>
      <c r="M11" s="69" t="str">
        <f t="shared" si="4"/>
        <v/>
      </c>
      <c r="N11" s="63" t="str">
        <f t="shared" si="5"/>
        <v/>
      </c>
      <c r="O11" s="63" t="str">
        <f t="shared" si="6"/>
        <v/>
      </c>
      <c r="P11" s="40"/>
    </row>
    <row r="12" spans="1:16" x14ac:dyDescent="0.25">
      <c r="B12" s="64" t="str">
        <f t="shared" si="0"/>
        <v/>
      </c>
      <c r="C12" s="37"/>
      <c r="D12" s="28"/>
      <c r="E12" s="38"/>
      <c r="F12" s="38"/>
      <c r="G12" s="38"/>
      <c r="H12" s="38"/>
      <c r="I12" s="65" t="str">
        <f t="shared" si="1"/>
        <v/>
      </c>
      <c r="J12" s="40"/>
      <c r="K12" s="56" t="str">
        <f t="shared" si="2"/>
        <v/>
      </c>
      <c r="L12" s="65" t="str">
        <f t="shared" si="3"/>
        <v/>
      </c>
      <c r="M12" s="66" t="str">
        <f t="shared" si="4"/>
        <v/>
      </c>
      <c r="N12" s="56" t="str">
        <f t="shared" si="5"/>
        <v/>
      </c>
      <c r="O12" s="56" t="str">
        <f t="shared" si="6"/>
        <v/>
      </c>
      <c r="P12" s="40"/>
    </row>
    <row r="13" spans="1:16" x14ac:dyDescent="0.25">
      <c r="B13" s="67" t="str">
        <f t="shared" si="0"/>
        <v/>
      </c>
      <c r="C13" s="37"/>
      <c r="D13" s="28"/>
      <c r="E13" s="38"/>
      <c r="F13" s="38"/>
      <c r="G13" s="38"/>
      <c r="H13" s="38"/>
      <c r="I13" s="68" t="str">
        <f t="shared" si="1"/>
        <v/>
      </c>
      <c r="J13" s="40"/>
      <c r="K13" s="63" t="str">
        <f t="shared" si="2"/>
        <v/>
      </c>
      <c r="L13" s="68" t="str">
        <f t="shared" si="3"/>
        <v/>
      </c>
      <c r="M13" s="69" t="str">
        <f t="shared" si="4"/>
        <v/>
      </c>
      <c r="N13" s="63" t="str">
        <f t="shared" si="5"/>
        <v/>
      </c>
      <c r="O13" s="63" t="str">
        <f t="shared" si="6"/>
        <v/>
      </c>
      <c r="P13" s="40"/>
    </row>
    <row r="14" spans="1:16" x14ac:dyDescent="0.25">
      <c r="B14" s="64" t="str">
        <f t="shared" si="0"/>
        <v/>
      </c>
      <c r="C14" s="37"/>
      <c r="D14" s="28"/>
      <c r="E14" s="38"/>
      <c r="F14" s="38"/>
      <c r="G14" s="38"/>
      <c r="H14" s="38"/>
      <c r="I14" s="65" t="str">
        <f t="shared" si="1"/>
        <v/>
      </c>
      <c r="J14" s="40"/>
      <c r="K14" s="56" t="str">
        <f t="shared" si="2"/>
        <v/>
      </c>
      <c r="L14" s="65" t="str">
        <f t="shared" si="3"/>
        <v/>
      </c>
      <c r="M14" s="66" t="str">
        <f t="shared" si="4"/>
        <v/>
      </c>
      <c r="N14" s="56" t="str">
        <f t="shared" si="5"/>
        <v/>
      </c>
      <c r="O14" s="56" t="str">
        <f t="shared" si="6"/>
        <v/>
      </c>
      <c r="P14" s="40"/>
    </row>
    <row r="15" spans="1:16" x14ac:dyDescent="0.25">
      <c r="B15" s="67" t="str">
        <f t="shared" si="0"/>
        <v/>
      </c>
      <c r="C15" s="37"/>
      <c r="D15" s="28"/>
      <c r="E15" s="38"/>
      <c r="F15" s="38"/>
      <c r="G15" s="38"/>
      <c r="H15" s="38"/>
      <c r="I15" s="68" t="str">
        <f t="shared" si="1"/>
        <v/>
      </c>
      <c r="J15" s="40"/>
      <c r="K15" s="63" t="str">
        <f t="shared" si="2"/>
        <v/>
      </c>
      <c r="L15" s="68" t="str">
        <f t="shared" si="3"/>
        <v/>
      </c>
      <c r="M15" s="69" t="str">
        <f t="shared" si="4"/>
        <v/>
      </c>
      <c r="N15" s="63" t="str">
        <f t="shared" si="5"/>
        <v/>
      </c>
      <c r="O15" s="63" t="str">
        <f t="shared" si="6"/>
        <v/>
      </c>
      <c r="P15" s="40"/>
    </row>
    <row r="16" spans="1:16" x14ac:dyDescent="0.25">
      <c r="B16" s="64" t="str">
        <f t="shared" si="0"/>
        <v/>
      </c>
      <c r="C16" s="37"/>
      <c r="D16" s="28"/>
      <c r="E16" s="38"/>
      <c r="F16" s="38"/>
      <c r="G16" s="38"/>
      <c r="H16" s="38"/>
      <c r="I16" s="65" t="str">
        <f t="shared" si="1"/>
        <v/>
      </c>
      <c r="J16" s="40"/>
      <c r="K16" s="56" t="str">
        <f t="shared" si="2"/>
        <v/>
      </c>
      <c r="L16" s="65" t="str">
        <f t="shared" si="3"/>
        <v/>
      </c>
      <c r="M16" s="66" t="str">
        <f t="shared" si="4"/>
        <v/>
      </c>
      <c r="N16" s="56" t="str">
        <f t="shared" si="5"/>
        <v/>
      </c>
      <c r="O16" s="56" t="str">
        <f t="shared" si="6"/>
        <v/>
      </c>
      <c r="P16" s="40"/>
    </row>
    <row r="17" spans="2:16" x14ac:dyDescent="0.25">
      <c r="B17" s="67" t="str">
        <f t="shared" si="0"/>
        <v/>
      </c>
      <c r="C17" s="37"/>
      <c r="D17" s="28"/>
      <c r="E17" s="38"/>
      <c r="F17" s="38"/>
      <c r="G17" s="38"/>
      <c r="H17" s="38"/>
      <c r="I17" s="68" t="str">
        <f t="shared" si="1"/>
        <v/>
      </c>
      <c r="J17" s="40"/>
      <c r="K17" s="63" t="str">
        <f t="shared" si="2"/>
        <v/>
      </c>
      <c r="L17" s="68" t="str">
        <f t="shared" si="3"/>
        <v/>
      </c>
      <c r="M17" s="69" t="str">
        <f t="shared" si="4"/>
        <v/>
      </c>
      <c r="N17" s="63" t="str">
        <f t="shared" si="5"/>
        <v/>
      </c>
      <c r="O17" s="63" t="str">
        <f t="shared" si="6"/>
        <v/>
      </c>
      <c r="P17" s="40"/>
    </row>
    <row r="18" spans="2:16" x14ac:dyDescent="0.25">
      <c r="B18" s="64" t="str">
        <f t="shared" si="0"/>
        <v/>
      </c>
      <c r="C18" s="37"/>
      <c r="D18" s="28"/>
      <c r="E18" s="38"/>
      <c r="F18" s="38"/>
      <c r="G18" s="38"/>
      <c r="H18" s="38"/>
      <c r="I18" s="65" t="str">
        <f t="shared" si="1"/>
        <v/>
      </c>
      <c r="J18" s="40"/>
      <c r="K18" s="56" t="str">
        <f t="shared" si="2"/>
        <v/>
      </c>
      <c r="L18" s="65" t="str">
        <f t="shared" si="3"/>
        <v/>
      </c>
      <c r="M18" s="66" t="str">
        <f t="shared" si="4"/>
        <v/>
      </c>
      <c r="N18" s="56" t="str">
        <f t="shared" si="5"/>
        <v/>
      </c>
      <c r="O18" s="56" t="str">
        <f t="shared" si="6"/>
        <v/>
      </c>
      <c r="P18" s="40"/>
    </row>
    <row r="19" spans="2:16" x14ac:dyDescent="0.25">
      <c r="B19" s="67" t="str">
        <f t="shared" si="0"/>
        <v/>
      </c>
      <c r="C19" s="37"/>
      <c r="D19" s="28"/>
      <c r="E19" s="38"/>
      <c r="F19" s="38"/>
      <c r="G19" s="38"/>
      <c r="H19" s="38"/>
      <c r="I19" s="68" t="str">
        <f t="shared" si="1"/>
        <v/>
      </c>
      <c r="J19" s="40"/>
      <c r="K19" s="63" t="str">
        <f t="shared" si="2"/>
        <v/>
      </c>
      <c r="L19" s="68" t="str">
        <f t="shared" si="3"/>
        <v/>
      </c>
      <c r="M19" s="69" t="str">
        <f t="shared" si="4"/>
        <v/>
      </c>
      <c r="N19" s="63" t="str">
        <f t="shared" si="5"/>
        <v/>
      </c>
      <c r="O19" s="63" t="str">
        <f t="shared" si="6"/>
        <v/>
      </c>
      <c r="P19" s="40"/>
    </row>
    <row r="20" spans="2:16" x14ac:dyDescent="0.25">
      <c r="B20" s="64" t="str">
        <f t="shared" si="0"/>
        <v/>
      </c>
      <c r="C20" s="37"/>
      <c r="D20" s="28"/>
      <c r="E20" s="38"/>
      <c r="F20" s="38"/>
      <c r="G20" s="38"/>
      <c r="H20" s="38"/>
      <c r="I20" s="65" t="str">
        <f t="shared" si="1"/>
        <v/>
      </c>
      <c r="J20" s="40"/>
      <c r="K20" s="56" t="str">
        <f t="shared" si="2"/>
        <v/>
      </c>
      <c r="L20" s="65" t="str">
        <f t="shared" si="3"/>
        <v/>
      </c>
      <c r="M20" s="66" t="str">
        <f t="shared" si="4"/>
        <v/>
      </c>
      <c r="N20" s="56" t="str">
        <f t="shared" si="5"/>
        <v/>
      </c>
      <c r="O20" s="56" t="str">
        <f t="shared" si="6"/>
        <v/>
      </c>
      <c r="P20" s="40"/>
    </row>
    <row r="21" spans="2:16" x14ac:dyDescent="0.25">
      <c r="B21" s="67" t="str">
        <f t="shared" si="0"/>
        <v/>
      </c>
      <c r="C21" s="37"/>
      <c r="D21" s="28"/>
      <c r="E21" s="38"/>
      <c r="F21" s="38"/>
      <c r="G21" s="38"/>
      <c r="H21" s="38"/>
      <c r="I21" s="68" t="str">
        <f t="shared" si="1"/>
        <v/>
      </c>
      <c r="J21" s="40"/>
      <c r="K21" s="63" t="str">
        <f t="shared" si="2"/>
        <v/>
      </c>
      <c r="L21" s="68" t="str">
        <f t="shared" si="3"/>
        <v/>
      </c>
      <c r="M21" s="69" t="str">
        <f t="shared" si="4"/>
        <v/>
      </c>
      <c r="N21" s="63" t="str">
        <f t="shared" si="5"/>
        <v/>
      </c>
      <c r="O21" s="63" t="str">
        <f t="shared" si="6"/>
        <v/>
      </c>
      <c r="P21" s="40"/>
    </row>
    <row r="22" spans="2:16" x14ac:dyDescent="0.25">
      <c r="B22" s="64" t="str">
        <f t="shared" si="0"/>
        <v/>
      </c>
      <c r="C22" s="37"/>
      <c r="D22" s="28"/>
      <c r="E22" s="38"/>
      <c r="F22" s="38"/>
      <c r="G22" s="38"/>
      <c r="H22" s="38"/>
      <c r="I22" s="65" t="str">
        <f t="shared" si="1"/>
        <v/>
      </c>
      <c r="J22" s="40"/>
      <c r="K22" s="56" t="str">
        <f t="shared" si="2"/>
        <v/>
      </c>
      <c r="L22" s="65" t="str">
        <f t="shared" si="3"/>
        <v/>
      </c>
      <c r="M22" s="66" t="str">
        <f t="shared" si="4"/>
        <v/>
      </c>
      <c r="N22" s="56" t="str">
        <f t="shared" si="5"/>
        <v/>
      </c>
      <c r="O22" s="56" t="str">
        <f t="shared" si="6"/>
        <v/>
      </c>
      <c r="P22" s="40"/>
    </row>
    <row r="23" spans="2:16" x14ac:dyDescent="0.25">
      <c r="B23" s="67" t="str">
        <f t="shared" si="0"/>
        <v/>
      </c>
      <c r="C23" s="37"/>
      <c r="D23" s="28"/>
      <c r="E23" s="38"/>
      <c r="F23" s="38"/>
      <c r="G23" s="38"/>
      <c r="H23" s="38"/>
      <c r="I23" s="68" t="str">
        <f t="shared" si="1"/>
        <v/>
      </c>
      <c r="J23" s="40"/>
      <c r="K23" s="63" t="str">
        <f t="shared" si="2"/>
        <v/>
      </c>
      <c r="L23" s="68" t="str">
        <f t="shared" si="3"/>
        <v/>
      </c>
      <c r="M23" s="69" t="str">
        <f t="shared" si="4"/>
        <v/>
      </c>
      <c r="N23" s="63" t="str">
        <f t="shared" si="5"/>
        <v/>
      </c>
      <c r="O23" s="63" t="str">
        <f t="shared" si="6"/>
        <v/>
      </c>
      <c r="P23" s="40"/>
    </row>
    <row r="24" spans="2:16" x14ac:dyDescent="0.25">
      <c r="B24" s="64" t="str">
        <f t="shared" si="0"/>
        <v/>
      </c>
      <c r="C24" s="37"/>
      <c r="D24" s="28"/>
      <c r="E24" s="38"/>
      <c r="F24" s="38"/>
      <c r="G24" s="38"/>
      <c r="H24" s="38"/>
      <c r="I24" s="65" t="str">
        <f t="shared" si="1"/>
        <v/>
      </c>
      <c r="J24" s="40"/>
      <c r="K24" s="56" t="str">
        <f t="shared" si="2"/>
        <v/>
      </c>
      <c r="L24" s="65" t="str">
        <f t="shared" si="3"/>
        <v/>
      </c>
      <c r="M24" s="66" t="str">
        <f t="shared" si="4"/>
        <v/>
      </c>
      <c r="N24" s="56" t="str">
        <f t="shared" si="5"/>
        <v/>
      </c>
      <c r="O24" s="56" t="str">
        <f t="shared" si="6"/>
        <v/>
      </c>
      <c r="P24" s="40"/>
    </row>
    <row r="25" spans="2:16" x14ac:dyDescent="0.25">
      <c r="B25" s="67" t="str">
        <f t="shared" si="0"/>
        <v/>
      </c>
      <c r="C25" s="37"/>
      <c r="D25" s="28"/>
      <c r="E25" s="38"/>
      <c r="F25" s="38"/>
      <c r="G25" s="38"/>
      <c r="H25" s="38"/>
      <c r="I25" s="68" t="str">
        <f t="shared" si="1"/>
        <v/>
      </c>
      <c r="J25" s="40"/>
      <c r="K25" s="63" t="str">
        <f t="shared" si="2"/>
        <v/>
      </c>
      <c r="L25" s="68" t="str">
        <f t="shared" si="3"/>
        <v/>
      </c>
      <c r="M25" s="69" t="str">
        <f t="shared" si="4"/>
        <v/>
      </c>
      <c r="N25" s="63" t="str">
        <f t="shared" si="5"/>
        <v/>
      </c>
      <c r="O25" s="63" t="str">
        <f t="shared" si="6"/>
        <v/>
      </c>
      <c r="P25" s="40"/>
    </row>
    <row r="26" spans="2:16" x14ac:dyDescent="0.25">
      <c r="B26" s="64" t="str">
        <f t="shared" si="0"/>
        <v/>
      </c>
      <c r="C26" s="37"/>
      <c r="D26" s="28"/>
      <c r="E26" s="38"/>
      <c r="F26" s="38"/>
      <c r="G26" s="38"/>
      <c r="H26" s="38"/>
      <c r="I26" s="65" t="str">
        <f t="shared" si="1"/>
        <v/>
      </c>
      <c r="J26" s="40"/>
      <c r="K26" s="56" t="str">
        <f t="shared" si="2"/>
        <v/>
      </c>
      <c r="L26" s="65" t="str">
        <f t="shared" si="3"/>
        <v/>
      </c>
      <c r="M26" s="66" t="str">
        <f t="shared" si="4"/>
        <v/>
      </c>
      <c r="N26" s="56" t="str">
        <f t="shared" si="5"/>
        <v/>
      </c>
      <c r="O26" s="56" t="str">
        <f t="shared" si="6"/>
        <v/>
      </c>
      <c r="P26" s="40"/>
    </row>
    <row r="27" spans="2:16" x14ac:dyDescent="0.25">
      <c r="B27" s="67" t="str">
        <f t="shared" si="0"/>
        <v/>
      </c>
      <c r="C27" s="37"/>
      <c r="D27" s="28"/>
      <c r="E27" s="38"/>
      <c r="F27" s="38"/>
      <c r="G27" s="38"/>
      <c r="H27" s="38"/>
      <c r="I27" s="68" t="str">
        <f t="shared" si="1"/>
        <v/>
      </c>
      <c r="J27" s="40"/>
      <c r="K27" s="63" t="str">
        <f t="shared" si="2"/>
        <v/>
      </c>
      <c r="L27" s="68" t="str">
        <f t="shared" si="3"/>
        <v/>
      </c>
      <c r="M27" s="69" t="str">
        <f t="shared" si="4"/>
        <v/>
      </c>
      <c r="N27" s="63" t="str">
        <f t="shared" si="5"/>
        <v/>
      </c>
      <c r="O27" s="63" t="str">
        <f t="shared" si="6"/>
        <v/>
      </c>
      <c r="P27" s="40"/>
    </row>
    <row r="28" spans="2:16" x14ac:dyDescent="0.25">
      <c r="B28" s="64" t="str">
        <f t="shared" si="0"/>
        <v/>
      </c>
      <c r="C28" s="37"/>
      <c r="D28" s="28"/>
      <c r="E28" s="38"/>
      <c r="F28" s="38"/>
      <c r="G28" s="38"/>
      <c r="H28" s="38"/>
      <c r="I28" s="65" t="str">
        <f t="shared" si="1"/>
        <v/>
      </c>
      <c r="J28" s="40"/>
      <c r="K28" s="56" t="str">
        <f t="shared" si="2"/>
        <v/>
      </c>
      <c r="L28" s="65" t="str">
        <f t="shared" si="3"/>
        <v/>
      </c>
      <c r="M28" s="66" t="str">
        <f t="shared" si="4"/>
        <v/>
      </c>
      <c r="N28" s="56" t="str">
        <f t="shared" si="5"/>
        <v/>
      </c>
      <c r="O28" s="56" t="str">
        <f t="shared" si="6"/>
        <v/>
      </c>
      <c r="P28" s="40"/>
    </row>
    <row r="29" spans="2:16" x14ac:dyDescent="0.25">
      <c r="B29" s="67" t="str">
        <f t="shared" si="0"/>
        <v/>
      </c>
      <c r="C29" s="37"/>
      <c r="D29" s="28"/>
      <c r="E29" s="38"/>
      <c r="F29" s="38"/>
      <c r="G29" s="38"/>
      <c r="H29" s="38"/>
      <c r="I29" s="68" t="str">
        <f t="shared" si="1"/>
        <v/>
      </c>
      <c r="J29" s="40"/>
      <c r="K29" s="63" t="str">
        <f t="shared" si="2"/>
        <v/>
      </c>
      <c r="L29" s="68" t="str">
        <f t="shared" si="3"/>
        <v/>
      </c>
      <c r="M29" s="69" t="str">
        <f t="shared" si="4"/>
        <v/>
      </c>
      <c r="N29" s="63" t="str">
        <f t="shared" si="5"/>
        <v/>
      </c>
      <c r="O29" s="63" t="str">
        <f t="shared" si="6"/>
        <v/>
      </c>
      <c r="P29" s="40"/>
    </row>
    <row r="30" spans="2:16" x14ac:dyDescent="0.25">
      <c r="B30" s="64" t="str">
        <f t="shared" si="0"/>
        <v/>
      </c>
      <c r="C30" s="37"/>
      <c r="D30" s="28"/>
      <c r="E30" s="38"/>
      <c r="F30" s="38"/>
      <c r="G30" s="38"/>
      <c r="H30" s="38"/>
      <c r="I30" s="65" t="str">
        <f t="shared" si="1"/>
        <v/>
      </c>
      <c r="J30" s="40"/>
      <c r="K30" s="56" t="str">
        <f t="shared" si="2"/>
        <v/>
      </c>
      <c r="L30" s="65" t="str">
        <f t="shared" si="3"/>
        <v/>
      </c>
      <c r="M30" s="66" t="str">
        <f t="shared" si="4"/>
        <v/>
      </c>
      <c r="N30" s="56" t="str">
        <f t="shared" si="5"/>
        <v/>
      </c>
      <c r="O30" s="56" t="str">
        <f t="shared" si="6"/>
        <v/>
      </c>
      <c r="P30" s="40"/>
    </row>
    <row r="31" spans="2:16" x14ac:dyDescent="0.25">
      <c r="B31" s="67" t="str">
        <f t="shared" si="0"/>
        <v/>
      </c>
      <c r="C31" s="37"/>
      <c r="D31" s="28"/>
      <c r="E31" s="38"/>
      <c r="F31" s="38"/>
      <c r="G31" s="38"/>
      <c r="H31" s="38"/>
      <c r="I31" s="68" t="str">
        <f t="shared" si="1"/>
        <v/>
      </c>
      <c r="J31" s="40"/>
      <c r="K31" s="63" t="str">
        <f t="shared" si="2"/>
        <v/>
      </c>
      <c r="L31" s="68" t="str">
        <f t="shared" si="3"/>
        <v/>
      </c>
      <c r="M31" s="69" t="str">
        <f t="shared" si="4"/>
        <v/>
      </c>
      <c r="N31" s="63" t="str">
        <f t="shared" si="5"/>
        <v/>
      </c>
      <c r="O31" s="63" t="str">
        <f t="shared" si="6"/>
        <v/>
      </c>
      <c r="P31" s="40"/>
    </row>
    <row r="32" spans="2:16" x14ac:dyDescent="0.25">
      <c r="B32" s="64" t="str">
        <f t="shared" si="0"/>
        <v/>
      </c>
      <c r="C32" s="37"/>
      <c r="D32" s="28"/>
      <c r="E32" s="38"/>
      <c r="F32" s="38"/>
      <c r="G32" s="38"/>
      <c r="H32" s="38"/>
      <c r="I32" s="65" t="str">
        <f t="shared" si="1"/>
        <v/>
      </c>
      <c r="J32" s="40"/>
      <c r="K32" s="56" t="str">
        <f t="shared" si="2"/>
        <v/>
      </c>
      <c r="L32" s="65" t="str">
        <f t="shared" si="3"/>
        <v/>
      </c>
      <c r="M32" s="66" t="str">
        <f t="shared" si="4"/>
        <v/>
      </c>
      <c r="N32" s="56" t="str">
        <f t="shared" si="5"/>
        <v/>
      </c>
      <c r="O32" s="56" t="str">
        <f t="shared" si="6"/>
        <v/>
      </c>
      <c r="P32" s="40"/>
    </row>
    <row r="33" spans="2:16" x14ac:dyDescent="0.25">
      <c r="B33" s="67" t="str">
        <f t="shared" si="0"/>
        <v/>
      </c>
      <c r="C33" s="37"/>
      <c r="D33" s="28"/>
      <c r="E33" s="38"/>
      <c r="F33" s="38"/>
      <c r="G33" s="38"/>
      <c r="H33" s="38"/>
      <c r="I33" s="68" t="str">
        <f t="shared" si="1"/>
        <v/>
      </c>
      <c r="J33" s="40"/>
      <c r="K33" s="63" t="str">
        <f t="shared" si="2"/>
        <v/>
      </c>
      <c r="L33" s="68" t="str">
        <f t="shared" si="3"/>
        <v/>
      </c>
      <c r="M33" s="69" t="str">
        <f t="shared" si="4"/>
        <v/>
      </c>
      <c r="N33" s="63" t="str">
        <f t="shared" si="5"/>
        <v/>
      </c>
      <c r="O33" s="63" t="str">
        <f t="shared" si="6"/>
        <v/>
      </c>
      <c r="P33" s="40"/>
    </row>
    <row r="34" spans="2:16" x14ac:dyDescent="0.25">
      <c r="B34" s="64" t="str">
        <f t="shared" si="0"/>
        <v/>
      </c>
      <c r="C34" s="37"/>
      <c r="D34" s="28"/>
      <c r="E34" s="38"/>
      <c r="F34" s="38"/>
      <c r="G34" s="38"/>
      <c r="H34" s="38"/>
      <c r="I34" s="65" t="str">
        <f t="shared" si="1"/>
        <v/>
      </c>
      <c r="J34" s="40"/>
      <c r="K34" s="56" t="str">
        <f t="shared" si="2"/>
        <v/>
      </c>
      <c r="L34" s="65" t="str">
        <f t="shared" si="3"/>
        <v/>
      </c>
      <c r="M34" s="66" t="str">
        <f t="shared" si="4"/>
        <v/>
      </c>
      <c r="N34" s="56" t="str">
        <f t="shared" si="5"/>
        <v/>
      </c>
      <c r="O34" s="56" t="str">
        <f t="shared" si="6"/>
        <v/>
      </c>
      <c r="P34" s="40"/>
    </row>
    <row r="35" spans="2:16" x14ac:dyDescent="0.25">
      <c r="B35" s="67" t="str">
        <f t="shared" si="0"/>
        <v/>
      </c>
      <c r="C35" s="37"/>
      <c r="D35" s="28"/>
      <c r="E35" s="38"/>
      <c r="F35" s="38"/>
      <c r="G35" s="38"/>
      <c r="H35" s="38"/>
      <c r="I35" s="68" t="str">
        <f t="shared" si="1"/>
        <v/>
      </c>
      <c r="J35" s="40"/>
      <c r="K35" s="63" t="str">
        <f t="shared" si="2"/>
        <v/>
      </c>
      <c r="L35" s="68" t="str">
        <f t="shared" si="3"/>
        <v/>
      </c>
      <c r="M35" s="69" t="str">
        <f t="shared" si="4"/>
        <v/>
      </c>
      <c r="N35" s="63" t="str">
        <f t="shared" si="5"/>
        <v/>
      </c>
      <c r="O35" s="63" t="str">
        <f t="shared" si="6"/>
        <v/>
      </c>
      <c r="P35" s="40"/>
    </row>
    <row r="36" spans="2:16" x14ac:dyDescent="0.25">
      <c r="B36" s="64" t="str">
        <f t="shared" si="0"/>
        <v/>
      </c>
      <c r="C36" s="37"/>
      <c r="D36" s="28"/>
      <c r="E36" s="38"/>
      <c r="F36" s="38"/>
      <c r="G36" s="38"/>
      <c r="H36" s="38"/>
      <c r="I36" s="65" t="str">
        <f t="shared" si="1"/>
        <v/>
      </c>
      <c r="J36" s="40"/>
      <c r="K36" s="56" t="str">
        <f t="shared" si="2"/>
        <v/>
      </c>
      <c r="L36" s="65" t="str">
        <f t="shared" si="3"/>
        <v/>
      </c>
      <c r="M36" s="66" t="str">
        <f t="shared" si="4"/>
        <v/>
      </c>
      <c r="N36" s="56" t="str">
        <f t="shared" si="5"/>
        <v/>
      </c>
      <c r="O36" s="56" t="str">
        <f t="shared" si="6"/>
        <v/>
      </c>
      <c r="P36" s="40"/>
    </row>
    <row r="37" spans="2:16" x14ac:dyDescent="0.25">
      <c r="B37" s="67" t="str">
        <f t="shared" si="0"/>
        <v/>
      </c>
      <c r="C37" s="37"/>
      <c r="D37" s="28"/>
      <c r="E37" s="38"/>
      <c r="F37" s="38"/>
      <c r="G37" s="38"/>
      <c r="H37" s="38"/>
      <c r="I37" s="68" t="str">
        <f t="shared" si="1"/>
        <v/>
      </c>
      <c r="J37" s="40"/>
      <c r="K37" s="63" t="str">
        <f t="shared" si="2"/>
        <v/>
      </c>
      <c r="L37" s="68" t="str">
        <f t="shared" si="3"/>
        <v/>
      </c>
      <c r="M37" s="69" t="str">
        <f t="shared" si="4"/>
        <v/>
      </c>
      <c r="N37" s="63" t="str">
        <f t="shared" si="5"/>
        <v/>
      </c>
      <c r="O37" s="63" t="str">
        <f t="shared" si="6"/>
        <v/>
      </c>
      <c r="P37" s="40"/>
    </row>
    <row r="38" spans="2:16" x14ac:dyDescent="0.25">
      <c r="B38" s="64" t="str">
        <f t="shared" si="0"/>
        <v/>
      </c>
      <c r="C38" s="37"/>
      <c r="D38" s="28"/>
      <c r="E38" s="38"/>
      <c r="F38" s="38"/>
      <c r="G38" s="38"/>
      <c r="H38" s="38"/>
      <c r="I38" s="65" t="str">
        <f t="shared" si="1"/>
        <v/>
      </c>
      <c r="J38" s="40"/>
      <c r="K38" s="56" t="str">
        <f t="shared" si="2"/>
        <v/>
      </c>
      <c r="L38" s="65" t="str">
        <f t="shared" si="3"/>
        <v/>
      </c>
      <c r="M38" s="66" t="str">
        <f t="shared" si="4"/>
        <v/>
      </c>
      <c r="N38" s="56" t="str">
        <f t="shared" si="5"/>
        <v/>
      </c>
      <c r="O38" s="56" t="str">
        <f t="shared" si="6"/>
        <v/>
      </c>
      <c r="P38" s="40"/>
    </row>
    <row r="39" spans="2:16" x14ac:dyDescent="0.25">
      <c r="B39" s="67" t="str">
        <f t="shared" si="0"/>
        <v/>
      </c>
      <c r="C39" s="37"/>
      <c r="D39" s="28"/>
      <c r="E39" s="38"/>
      <c r="F39" s="38"/>
      <c r="G39" s="38"/>
      <c r="H39" s="38"/>
      <c r="I39" s="68" t="str">
        <f t="shared" si="1"/>
        <v/>
      </c>
      <c r="J39" s="40"/>
      <c r="K39" s="63" t="str">
        <f t="shared" si="2"/>
        <v/>
      </c>
      <c r="L39" s="68" t="str">
        <f t="shared" si="3"/>
        <v/>
      </c>
      <c r="M39" s="69" t="str">
        <f t="shared" si="4"/>
        <v/>
      </c>
      <c r="N39" s="63" t="str">
        <f t="shared" si="5"/>
        <v/>
      </c>
      <c r="O39" s="63" t="str">
        <f t="shared" si="6"/>
        <v/>
      </c>
      <c r="P39" s="40"/>
    </row>
    <row r="40" spans="2:16" x14ac:dyDescent="0.25">
      <c r="B40" s="64" t="str">
        <f t="shared" ref="B40:B71" si="7">IF(OR($C40="",$D40=""),"","S-"&amp;TEXT($C40,"yymmdd")&amp;"-"&amp;UPPER(LEFT($D40,3)))</f>
        <v/>
      </c>
      <c r="C40" s="37"/>
      <c r="D40" s="28"/>
      <c r="E40" s="38"/>
      <c r="F40" s="38"/>
      <c r="G40" s="38"/>
      <c r="H40" s="38"/>
      <c r="I40" s="65" t="str">
        <f t="shared" ref="I40:I71" si="8">IF($B40="","",ROUND(N($E40)-N($F40)-N($G40)+N($H40),2))</f>
        <v/>
      </c>
      <c r="J40" s="40"/>
      <c r="K40" s="56" t="str">
        <f t="shared" ref="K40:K71" si="9">IF($J40="","",IFERROR(INDEX(Txn_In,MATCH(LEFT($J40,7),Txn_ID,0))-INDEX(Txn_Out,MATCH(LEFT($J40,7),Txn_ID,0)),"TXN NOT FOUND"))</f>
        <v/>
      </c>
      <c r="L40" s="65" t="str">
        <f t="shared" ref="L40:L71" si="10">IF(OR($B40="",$J40="",NOT(ISNUMBER($K40))),"",ROUND($I40-$K40,2))</f>
        <v/>
      </c>
      <c r="M40" s="66" t="str">
        <f t="shared" ref="M40:M71" si="11">IF($B40="","",IF($J40="","Link a Txn ID",IF(NOT(ISNUMBER($K40)),"TXN NOT FOUND",IF(AND(N($E40)=0,N($F40)=0,N($G40)=0,N($H40)=0),"NO SETTLEMENT AMOUNTS ENTERED",IF(SUMPRODUCT(--(LEFT($J$8:$J$107,7)=LEFT($J40,7)))&gt;1,"DUPLICATE LINK",IF(IFERROR(INDEX(Txn_Treat,MATCH(LEFT($J40,7),Txn_ID,0)),"")&lt;&gt;"Balance Sheet / Clearing","WRONG CATEGORY - must be clearing",IF(ABS(N($L40))&lt;0.005,"Tied out","CHECK SETTLEMENT")))))))</f>
        <v/>
      </c>
      <c r="N40" s="56" t="str">
        <f t="shared" ref="N40:N71" si="12">IF($B40="","",IF($M40&lt;&gt;"Tied out",0,ROUND(N($E40)-N($G40),2)))</f>
        <v/>
      </c>
      <c r="O40" s="56" t="str">
        <f t="shared" ref="O40:O71" si="13">IF($B40="","",IF($M40&lt;&gt;"Tied out",0,ROUND(N($F40),2)))</f>
        <v/>
      </c>
      <c r="P40" s="40"/>
    </row>
    <row r="41" spans="2:16" x14ac:dyDescent="0.25">
      <c r="B41" s="67" t="str">
        <f t="shared" si="7"/>
        <v/>
      </c>
      <c r="C41" s="37"/>
      <c r="D41" s="28"/>
      <c r="E41" s="38"/>
      <c r="F41" s="38"/>
      <c r="G41" s="38"/>
      <c r="H41" s="38"/>
      <c r="I41" s="68" t="str">
        <f t="shared" si="8"/>
        <v/>
      </c>
      <c r="J41" s="40"/>
      <c r="K41" s="63" t="str">
        <f t="shared" si="9"/>
        <v/>
      </c>
      <c r="L41" s="68" t="str">
        <f t="shared" si="10"/>
        <v/>
      </c>
      <c r="M41" s="69" t="str">
        <f t="shared" si="11"/>
        <v/>
      </c>
      <c r="N41" s="63" t="str">
        <f t="shared" si="12"/>
        <v/>
      </c>
      <c r="O41" s="63" t="str">
        <f t="shared" si="13"/>
        <v/>
      </c>
      <c r="P41" s="40"/>
    </row>
    <row r="42" spans="2:16" x14ac:dyDescent="0.25">
      <c r="B42" s="64" t="str">
        <f t="shared" si="7"/>
        <v/>
      </c>
      <c r="C42" s="37"/>
      <c r="D42" s="28"/>
      <c r="E42" s="38"/>
      <c r="F42" s="38"/>
      <c r="G42" s="38"/>
      <c r="H42" s="38"/>
      <c r="I42" s="65" t="str">
        <f t="shared" si="8"/>
        <v/>
      </c>
      <c r="J42" s="40"/>
      <c r="K42" s="56" t="str">
        <f t="shared" si="9"/>
        <v/>
      </c>
      <c r="L42" s="65" t="str">
        <f t="shared" si="10"/>
        <v/>
      </c>
      <c r="M42" s="66" t="str">
        <f t="shared" si="11"/>
        <v/>
      </c>
      <c r="N42" s="56" t="str">
        <f t="shared" si="12"/>
        <v/>
      </c>
      <c r="O42" s="56" t="str">
        <f t="shared" si="13"/>
        <v/>
      </c>
      <c r="P42" s="40"/>
    </row>
    <row r="43" spans="2:16" x14ac:dyDescent="0.25">
      <c r="B43" s="67" t="str">
        <f t="shared" si="7"/>
        <v/>
      </c>
      <c r="C43" s="37"/>
      <c r="D43" s="28"/>
      <c r="E43" s="38"/>
      <c r="F43" s="38"/>
      <c r="G43" s="38"/>
      <c r="H43" s="38"/>
      <c r="I43" s="68" t="str">
        <f t="shared" si="8"/>
        <v/>
      </c>
      <c r="J43" s="40"/>
      <c r="K43" s="63" t="str">
        <f t="shared" si="9"/>
        <v/>
      </c>
      <c r="L43" s="68" t="str">
        <f t="shared" si="10"/>
        <v/>
      </c>
      <c r="M43" s="69" t="str">
        <f t="shared" si="11"/>
        <v/>
      </c>
      <c r="N43" s="63" t="str">
        <f t="shared" si="12"/>
        <v/>
      </c>
      <c r="O43" s="63" t="str">
        <f t="shared" si="13"/>
        <v/>
      </c>
      <c r="P43" s="40"/>
    </row>
    <row r="44" spans="2:16" x14ac:dyDescent="0.25">
      <c r="B44" s="64" t="str">
        <f t="shared" si="7"/>
        <v/>
      </c>
      <c r="C44" s="37"/>
      <c r="D44" s="28"/>
      <c r="E44" s="38"/>
      <c r="F44" s="38"/>
      <c r="G44" s="38"/>
      <c r="H44" s="38"/>
      <c r="I44" s="65" t="str">
        <f t="shared" si="8"/>
        <v/>
      </c>
      <c r="J44" s="40"/>
      <c r="K44" s="56" t="str">
        <f t="shared" si="9"/>
        <v/>
      </c>
      <c r="L44" s="65" t="str">
        <f t="shared" si="10"/>
        <v/>
      </c>
      <c r="M44" s="66" t="str">
        <f t="shared" si="11"/>
        <v/>
      </c>
      <c r="N44" s="56" t="str">
        <f t="shared" si="12"/>
        <v/>
      </c>
      <c r="O44" s="56" t="str">
        <f t="shared" si="13"/>
        <v/>
      </c>
      <c r="P44" s="40"/>
    </row>
    <row r="45" spans="2:16" x14ac:dyDescent="0.25">
      <c r="B45" s="67" t="str">
        <f t="shared" si="7"/>
        <v/>
      </c>
      <c r="C45" s="37"/>
      <c r="D45" s="28"/>
      <c r="E45" s="38"/>
      <c r="F45" s="38"/>
      <c r="G45" s="38"/>
      <c r="H45" s="38"/>
      <c r="I45" s="68" t="str">
        <f t="shared" si="8"/>
        <v/>
      </c>
      <c r="J45" s="40"/>
      <c r="K45" s="63" t="str">
        <f t="shared" si="9"/>
        <v/>
      </c>
      <c r="L45" s="68" t="str">
        <f t="shared" si="10"/>
        <v/>
      </c>
      <c r="M45" s="69" t="str">
        <f t="shared" si="11"/>
        <v/>
      </c>
      <c r="N45" s="63" t="str">
        <f t="shared" si="12"/>
        <v/>
      </c>
      <c r="O45" s="63" t="str">
        <f t="shared" si="13"/>
        <v/>
      </c>
      <c r="P45" s="40"/>
    </row>
    <row r="46" spans="2:16" x14ac:dyDescent="0.25">
      <c r="B46" s="64" t="str">
        <f t="shared" si="7"/>
        <v/>
      </c>
      <c r="C46" s="37"/>
      <c r="D46" s="28"/>
      <c r="E46" s="38"/>
      <c r="F46" s="38"/>
      <c r="G46" s="38"/>
      <c r="H46" s="38"/>
      <c r="I46" s="65" t="str">
        <f t="shared" si="8"/>
        <v/>
      </c>
      <c r="J46" s="40"/>
      <c r="K46" s="56" t="str">
        <f t="shared" si="9"/>
        <v/>
      </c>
      <c r="L46" s="65" t="str">
        <f t="shared" si="10"/>
        <v/>
      </c>
      <c r="M46" s="66" t="str">
        <f t="shared" si="11"/>
        <v/>
      </c>
      <c r="N46" s="56" t="str">
        <f t="shared" si="12"/>
        <v/>
      </c>
      <c r="O46" s="56" t="str">
        <f t="shared" si="13"/>
        <v/>
      </c>
      <c r="P46" s="40"/>
    </row>
    <row r="47" spans="2:16" x14ac:dyDescent="0.25">
      <c r="B47" s="67" t="str">
        <f t="shared" si="7"/>
        <v/>
      </c>
      <c r="C47" s="37"/>
      <c r="D47" s="28"/>
      <c r="E47" s="38"/>
      <c r="F47" s="38"/>
      <c r="G47" s="38"/>
      <c r="H47" s="38"/>
      <c r="I47" s="68" t="str">
        <f t="shared" si="8"/>
        <v/>
      </c>
      <c r="J47" s="40"/>
      <c r="K47" s="63" t="str">
        <f t="shared" si="9"/>
        <v/>
      </c>
      <c r="L47" s="68" t="str">
        <f t="shared" si="10"/>
        <v/>
      </c>
      <c r="M47" s="69" t="str">
        <f t="shared" si="11"/>
        <v/>
      </c>
      <c r="N47" s="63" t="str">
        <f t="shared" si="12"/>
        <v/>
      </c>
      <c r="O47" s="63" t="str">
        <f t="shared" si="13"/>
        <v/>
      </c>
      <c r="P47" s="40"/>
    </row>
    <row r="48" spans="2:16" x14ac:dyDescent="0.25">
      <c r="B48" s="64" t="str">
        <f t="shared" si="7"/>
        <v/>
      </c>
      <c r="C48" s="37"/>
      <c r="D48" s="28"/>
      <c r="E48" s="38"/>
      <c r="F48" s="38"/>
      <c r="G48" s="38"/>
      <c r="H48" s="38"/>
      <c r="I48" s="65" t="str">
        <f t="shared" si="8"/>
        <v/>
      </c>
      <c r="J48" s="40"/>
      <c r="K48" s="56" t="str">
        <f t="shared" si="9"/>
        <v/>
      </c>
      <c r="L48" s="65" t="str">
        <f t="shared" si="10"/>
        <v/>
      </c>
      <c r="M48" s="66" t="str">
        <f t="shared" si="11"/>
        <v/>
      </c>
      <c r="N48" s="56" t="str">
        <f t="shared" si="12"/>
        <v/>
      </c>
      <c r="O48" s="56" t="str">
        <f t="shared" si="13"/>
        <v/>
      </c>
      <c r="P48" s="40"/>
    </row>
    <row r="49" spans="2:16" x14ac:dyDescent="0.25">
      <c r="B49" s="67" t="str">
        <f t="shared" si="7"/>
        <v/>
      </c>
      <c r="C49" s="37"/>
      <c r="D49" s="28"/>
      <c r="E49" s="38"/>
      <c r="F49" s="38"/>
      <c r="G49" s="38"/>
      <c r="H49" s="38"/>
      <c r="I49" s="68" t="str">
        <f t="shared" si="8"/>
        <v/>
      </c>
      <c r="J49" s="40"/>
      <c r="K49" s="63" t="str">
        <f t="shared" si="9"/>
        <v/>
      </c>
      <c r="L49" s="68" t="str">
        <f t="shared" si="10"/>
        <v/>
      </c>
      <c r="M49" s="69" t="str">
        <f t="shared" si="11"/>
        <v/>
      </c>
      <c r="N49" s="63" t="str">
        <f t="shared" si="12"/>
        <v/>
      </c>
      <c r="O49" s="63" t="str">
        <f t="shared" si="13"/>
        <v/>
      </c>
      <c r="P49" s="40"/>
    </row>
    <row r="50" spans="2:16" x14ac:dyDescent="0.25">
      <c r="B50" s="64" t="str">
        <f t="shared" si="7"/>
        <v/>
      </c>
      <c r="C50" s="37"/>
      <c r="D50" s="28"/>
      <c r="E50" s="38"/>
      <c r="F50" s="38"/>
      <c r="G50" s="38"/>
      <c r="H50" s="38"/>
      <c r="I50" s="65" t="str">
        <f t="shared" si="8"/>
        <v/>
      </c>
      <c r="J50" s="40"/>
      <c r="K50" s="56" t="str">
        <f t="shared" si="9"/>
        <v/>
      </c>
      <c r="L50" s="65" t="str">
        <f t="shared" si="10"/>
        <v/>
      </c>
      <c r="M50" s="66" t="str">
        <f t="shared" si="11"/>
        <v/>
      </c>
      <c r="N50" s="56" t="str">
        <f t="shared" si="12"/>
        <v/>
      </c>
      <c r="O50" s="56" t="str">
        <f t="shared" si="13"/>
        <v/>
      </c>
      <c r="P50" s="40"/>
    </row>
    <row r="51" spans="2:16" x14ac:dyDescent="0.25">
      <c r="B51" s="67" t="str">
        <f t="shared" si="7"/>
        <v/>
      </c>
      <c r="C51" s="37"/>
      <c r="D51" s="28"/>
      <c r="E51" s="38"/>
      <c r="F51" s="38"/>
      <c r="G51" s="38"/>
      <c r="H51" s="38"/>
      <c r="I51" s="68" t="str">
        <f t="shared" si="8"/>
        <v/>
      </c>
      <c r="J51" s="40"/>
      <c r="K51" s="63" t="str">
        <f t="shared" si="9"/>
        <v/>
      </c>
      <c r="L51" s="68" t="str">
        <f t="shared" si="10"/>
        <v/>
      </c>
      <c r="M51" s="69" t="str">
        <f t="shared" si="11"/>
        <v/>
      </c>
      <c r="N51" s="63" t="str">
        <f t="shared" si="12"/>
        <v/>
      </c>
      <c r="O51" s="63" t="str">
        <f t="shared" si="13"/>
        <v/>
      </c>
      <c r="P51" s="40"/>
    </row>
    <row r="52" spans="2:16" x14ac:dyDescent="0.25">
      <c r="B52" s="64" t="str">
        <f t="shared" si="7"/>
        <v/>
      </c>
      <c r="C52" s="37"/>
      <c r="D52" s="28"/>
      <c r="E52" s="38"/>
      <c r="F52" s="38"/>
      <c r="G52" s="38"/>
      <c r="H52" s="38"/>
      <c r="I52" s="65" t="str">
        <f t="shared" si="8"/>
        <v/>
      </c>
      <c r="J52" s="40"/>
      <c r="K52" s="56" t="str">
        <f t="shared" si="9"/>
        <v/>
      </c>
      <c r="L52" s="65" t="str">
        <f t="shared" si="10"/>
        <v/>
      </c>
      <c r="M52" s="66" t="str">
        <f t="shared" si="11"/>
        <v/>
      </c>
      <c r="N52" s="56" t="str">
        <f t="shared" si="12"/>
        <v/>
      </c>
      <c r="O52" s="56" t="str">
        <f t="shared" si="13"/>
        <v/>
      </c>
      <c r="P52" s="40"/>
    </row>
    <row r="53" spans="2:16" x14ac:dyDescent="0.25">
      <c r="B53" s="67" t="str">
        <f t="shared" si="7"/>
        <v/>
      </c>
      <c r="C53" s="37"/>
      <c r="D53" s="28"/>
      <c r="E53" s="38"/>
      <c r="F53" s="38"/>
      <c r="G53" s="38"/>
      <c r="H53" s="38"/>
      <c r="I53" s="68" t="str">
        <f t="shared" si="8"/>
        <v/>
      </c>
      <c r="J53" s="40"/>
      <c r="K53" s="63" t="str">
        <f t="shared" si="9"/>
        <v/>
      </c>
      <c r="L53" s="68" t="str">
        <f t="shared" si="10"/>
        <v/>
      </c>
      <c r="M53" s="69" t="str">
        <f t="shared" si="11"/>
        <v/>
      </c>
      <c r="N53" s="63" t="str">
        <f t="shared" si="12"/>
        <v/>
      </c>
      <c r="O53" s="63" t="str">
        <f t="shared" si="13"/>
        <v/>
      </c>
      <c r="P53" s="40"/>
    </row>
    <row r="54" spans="2:16" x14ac:dyDescent="0.25">
      <c r="B54" s="64" t="str">
        <f t="shared" si="7"/>
        <v/>
      </c>
      <c r="C54" s="37"/>
      <c r="D54" s="28"/>
      <c r="E54" s="38"/>
      <c r="F54" s="38"/>
      <c r="G54" s="38"/>
      <c r="H54" s="38"/>
      <c r="I54" s="65" t="str">
        <f t="shared" si="8"/>
        <v/>
      </c>
      <c r="J54" s="40"/>
      <c r="K54" s="56" t="str">
        <f t="shared" si="9"/>
        <v/>
      </c>
      <c r="L54" s="65" t="str">
        <f t="shared" si="10"/>
        <v/>
      </c>
      <c r="M54" s="66" t="str">
        <f t="shared" si="11"/>
        <v/>
      </c>
      <c r="N54" s="56" t="str">
        <f t="shared" si="12"/>
        <v/>
      </c>
      <c r="O54" s="56" t="str">
        <f t="shared" si="13"/>
        <v/>
      </c>
      <c r="P54" s="40"/>
    </row>
    <row r="55" spans="2:16" x14ac:dyDescent="0.25">
      <c r="B55" s="67" t="str">
        <f t="shared" si="7"/>
        <v/>
      </c>
      <c r="C55" s="37"/>
      <c r="D55" s="28"/>
      <c r="E55" s="38"/>
      <c r="F55" s="38"/>
      <c r="G55" s="38"/>
      <c r="H55" s="38"/>
      <c r="I55" s="68" t="str">
        <f t="shared" si="8"/>
        <v/>
      </c>
      <c r="J55" s="40"/>
      <c r="K55" s="63" t="str">
        <f t="shared" si="9"/>
        <v/>
      </c>
      <c r="L55" s="68" t="str">
        <f t="shared" si="10"/>
        <v/>
      </c>
      <c r="M55" s="69" t="str">
        <f t="shared" si="11"/>
        <v/>
      </c>
      <c r="N55" s="63" t="str">
        <f t="shared" si="12"/>
        <v/>
      </c>
      <c r="O55" s="63" t="str">
        <f t="shared" si="13"/>
        <v/>
      </c>
      <c r="P55" s="40"/>
    </row>
    <row r="56" spans="2:16" x14ac:dyDescent="0.25">
      <c r="B56" s="64" t="str">
        <f t="shared" si="7"/>
        <v/>
      </c>
      <c r="C56" s="37"/>
      <c r="D56" s="28"/>
      <c r="E56" s="38"/>
      <c r="F56" s="38"/>
      <c r="G56" s="38"/>
      <c r="H56" s="38"/>
      <c r="I56" s="65" t="str">
        <f t="shared" si="8"/>
        <v/>
      </c>
      <c r="J56" s="40"/>
      <c r="K56" s="56" t="str">
        <f t="shared" si="9"/>
        <v/>
      </c>
      <c r="L56" s="65" t="str">
        <f t="shared" si="10"/>
        <v/>
      </c>
      <c r="M56" s="66" t="str">
        <f t="shared" si="11"/>
        <v/>
      </c>
      <c r="N56" s="56" t="str">
        <f t="shared" si="12"/>
        <v/>
      </c>
      <c r="O56" s="56" t="str">
        <f t="shared" si="13"/>
        <v/>
      </c>
      <c r="P56" s="40"/>
    </row>
    <row r="57" spans="2:16" x14ac:dyDescent="0.25">
      <c r="B57" s="67" t="str">
        <f t="shared" si="7"/>
        <v/>
      </c>
      <c r="C57" s="37"/>
      <c r="D57" s="28"/>
      <c r="E57" s="38"/>
      <c r="F57" s="38"/>
      <c r="G57" s="38"/>
      <c r="H57" s="38"/>
      <c r="I57" s="68" t="str">
        <f t="shared" si="8"/>
        <v/>
      </c>
      <c r="J57" s="40"/>
      <c r="K57" s="63" t="str">
        <f t="shared" si="9"/>
        <v/>
      </c>
      <c r="L57" s="68" t="str">
        <f t="shared" si="10"/>
        <v/>
      </c>
      <c r="M57" s="69" t="str">
        <f t="shared" si="11"/>
        <v/>
      </c>
      <c r="N57" s="63" t="str">
        <f t="shared" si="12"/>
        <v/>
      </c>
      <c r="O57" s="63" t="str">
        <f t="shared" si="13"/>
        <v/>
      </c>
      <c r="P57" s="40"/>
    </row>
    <row r="58" spans="2:16" x14ac:dyDescent="0.25">
      <c r="B58" s="64" t="str">
        <f t="shared" si="7"/>
        <v/>
      </c>
      <c r="C58" s="37"/>
      <c r="D58" s="28"/>
      <c r="E58" s="38"/>
      <c r="F58" s="38"/>
      <c r="G58" s="38"/>
      <c r="H58" s="38"/>
      <c r="I58" s="65" t="str">
        <f t="shared" si="8"/>
        <v/>
      </c>
      <c r="J58" s="40"/>
      <c r="K58" s="56" t="str">
        <f t="shared" si="9"/>
        <v/>
      </c>
      <c r="L58" s="65" t="str">
        <f t="shared" si="10"/>
        <v/>
      </c>
      <c r="M58" s="66" t="str">
        <f t="shared" si="11"/>
        <v/>
      </c>
      <c r="N58" s="56" t="str">
        <f t="shared" si="12"/>
        <v/>
      </c>
      <c r="O58" s="56" t="str">
        <f t="shared" si="13"/>
        <v/>
      </c>
      <c r="P58" s="40"/>
    </row>
    <row r="59" spans="2:16" x14ac:dyDescent="0.25">
      <c r="B59" s="67" t="str">
        <f t="shared" si="7"/>
        <v/>
      </c>
      <c r="C59" s="37"/>
      <c r="D59" s="28"/>
      <c r="E59" s="38"/>
      <c r="F59" s="38"/>
      <c r="G59" s="38"/>
      <c r="H59" s="38"/>
      <c r="I59" s="68" t="str">
        <f t="shared" si="8"/>
        <v/>
      </c>
      <c r="J59" s="40"/>
      <c r="K59" s="63" t="str">
        <f t="shared" si="9"/>
        <v/>
      </c>
      <c r="L59" s="68" t="str">
        <f t="shared" si="10"/>
        <v/>
      </c>
      <c r="M59" s="69" t="str">
        <f t="shared" si="11"/>
        <v/>
      </c>
      <c r="N59" s="63" t="str">
        <f t="shared" si="12"/>
        <v/>
      </c>
      <c r="O59" s="63" t="str">
        <f t="shared" si="13"/>
        <v/>
      </c>
      <c r="P59" s="40"/>
    </row>
    <row r="60" spans="2:16" x14ac:dyDescent="0.25">
      <c r="B60" s="64" t="str">
        <f t="shared" si="7"/>
        <v/>
      </c>
      <c r="C60" s="37"/>
      <c r="D60" s="28"/>
      <c r="E60" s="38"/>
      <c r="F60" s="38"/>
      <c r="G60" s="38"/>
      <c r="H60" s="38"/>
      <c r="I60" s="65" t="str">
        <f t="shared" si="8"/>
        <v/>
      </c>
      <c r="J60" s="40"/>
      <c r="K60" s="56" t="str">
        <f t="shared" si="9"/>
        <v/>
      </c>
      <c r="L60" s="65" t="str">
        <f t="shared" si="10"/>
        <v/>
      </c>
      <c r="M60" s="66" t="str">
        <f t="shared" si="11"/>
        <v/>
      </c>
      <c r="N60" s="56" t="str">
        <f t="shared" si="12"/>
        <v/>
      </c>
      <c r="O60" s="56" t="str">
        <f t="shared" si="13"/>
        <v/>
      </c>
      <c r="P60" s="40"/>
    </row>
    <row r="61" spans="2:16" x14ac:dyDescent="0.25">
      <c r="B61" s="67" t="str">
        <f t="shared" si="7"/>
        <v/>
      </c>
      <c r="C61" s="37"/>
      <c r="D61" s="28"/>
      <c r="E61" s="38"/>
      <c r="F61" s="38"/>
      <c r="G61" s="38"/>
      <c r="H61" s="38"/>
      <c r="I61" s="68" t="str">
        <f t="shared" si="8"/>
        <v/>
      </c>
      <c r="J61" s="40"/>
      <c r="K61" s="63" t="str">
        <f t="shared" si="9"/>
        <v/>
      </c>
      <c r="L61" s="68" t="str">
        <f t="shared" si="10"/>
        <v/>
      </c>
      <c r="M61" s="69" t="str">
        <f t="shared" si="11"/>
        <v/>
      </c>
      <c r="N61" s="63" t="str">
        <f t="shared" si="12"/>
        <v/>
      </c>
      <c r="O61" s="63" t="str">
        <f t="shared" si="13"/>
        <v/>
      </c>
      <c r="P61" s="40"/>
    </row>
    <row r="62" spans="2:16" x14ac:dyDescent="0.25">
      <c r="B62" s="64" t="str">
        <f t="shared" si="7"/>
        <v/>
      </c>
      <c r="C62" s="37"/>
      <c r="D62" s="28"/>
      <c r="E62" s="38"/>
      <c r="F62" s="38"/>
      <c r="G62" s="38"/>
      <c r="H62" s="38"/>
      <c r="I62" s="65" t="str">
        <f t="shared" si="8"/>
        <v/>
      </c>
      <c r="J62" s="40"/>
      <c r="K62" s="56" t="str">
        <f t="shared" si="9"/>
        <v/>
      </c>
      <c r="L62" s="65" t="str">
        <f t="shared" si="10"/>
        <v/>
      </c>
      <c r="M62" s="66" t="str">
        <f t="shared" si="11"/>
        <v/>
      </c>
      <c r="N62" s="56" t="str">
        <f t="shared" si="12"/>
        <v/>
      </c>
      <c r="O62" s="56" t="str">
        <f t="shared" si="13"/>
        <v/>
      </c>
      <c r="P62" s="40"/>
    </row>
    <row r="63" spans="2:16" x14ac:dyDescent="0.25">
      <c r="B63" s="67" t="str">
        <f t="shared" si="7"/>
        <v/>
      </c>
      <c r="C63" s="37"/>
      <c r="D63" s="28"/>
      <c r="E63" s="38"/>
      <c r="F63" s="38"/>
      <c r="G63" s="38"/>
      <c r="H63" s="38"/>
      <c r="I63" s="68" t="str">
        <f t="shared" si="8"/>
        <v/>
      </c>
      <c r="J63" s="40"/>
      <c r="K63" s="63" t="str">
        <f t="shared" si="9"/>
        <v/>
      </c>
      <c r="L63" s="68" t="str">
        <f t="shared" si="10"/>
        <v/>
      </c>
      <c r="M63" s="69" t="str">
        <f t="shared" si="11"/>
        <v/>
      </c>
      <c r="N63" s="63" t="str">
        <f t="shared" si="12"/>
        <v/>
      </c>
      <c r="O63" s="63" t="str">
        <f t="shared" si="13"/>
        <v/>
      </c>
      <c r="P63" s="40"/>
    </row>
    <row r="64" spans="2:16" x14ac:dyDescent="0.25">
      <c r="B64" s="64" t="str">
        <f t="shared" si="7"/>
        <v/>
      </c>
      <c r="C64" s="37"/>
      <c r="D64" s="28"/>
      <c r="E64" s="38"/>
      <c r="F64" s="38"/>
      <c r="G64" s="38"/>
      <c r="H64" s="38"/>
      <c r="I64" s="65" t="str">
        <f t="shared" si="8"/>
        <v/>
      </c>
      <c r="J64" s="40"/>
      <c r="K64" s="56" t="str">
        <f t="shared" si="9"/>
        <v/>
      </c>
      <c r="L64" s="65" t="str">
        <f t="shared" si="10"/>
        <v/>
      </c>
      <c r="M64" s="66" t="str">
        <f t="shared" si="11"/>
        <v/>
      </c>
      <c r="N64" s="56" t="str">
        <f t="shared" si="12"/>
        <v/>
      </c>
      <c r="O64" s="56" t="str">
        <f t="shared" si="13"/>
        <v/>
      </c>
      <c r="P64" s="40"/>
    </row>
    <row r="65" spans="2:16" x14ac:dyDescent="0.25">
      <c r="B65" s="67" t="str">
        <f t="shared" si="7"/>
        <v/>
      </c>
      <c r="C65" s="37"/>
      <c r="D65" s="28"/>
      <c r="E65" s="38"/>
      <c r="F65" s="38"/>
      <c r="G65" s="38"/>
      <c r="H65" s="38"/>
      <c r="I65" s="68" t="str">
        <f t="shared" si="8"/>
        <v/>
      </c>
      <c r="J65" s="40"/>
      <c r="K65" s="63" t="str">
        <f t="shared" si="9"/>
        <v/>
      </c>
      <c r="L65" s="68" t="str">
        <f t="shared" si="10"/>
        <v/>
      </c>
      <c r="M65" s="69" t="str">
        <f t="shared" si="11"/>
        <v/>
      </c>
      <c r="N65" s="63" t="str">
        <f t="shared" si="12"/>
        <v/>
      </c>
      <c r="O65" s="63" t="str">
        <f t="shared" si="13"/>
        <v/>
      </c>
      <c r="P65" s="40"/>
    </row>
    <row r="66" spans="2:16" x14ac:dyDescent="0.25">
      <c r="B66" s="64" t="str">
        <f t="shared" si="7"/>
        <v/>
      </c>
      <c r="C66" s="37"/>
      <c r="D66" s="28"/>
      <c r="E66" s="38"/>
      <c r="F66" s="38"/>
      <c r="G66" s="38"/>
      <c r="H66" s="38"/>
      <c r="I66" s="65" t="str">
        <f t="shared" si="8"/>
        <v/>
      </c>
      <c r="J66" s="40"/>
      <c r="K66" s="56" t="str">
        <f t="shared" si="9"/>
        <v/>
      </c>
      <c r="L66" s="65" t="str">
        <f t="shared" si="10"/>
        <v/>
      </c>
      <c r="M66" s="66" t="str">
        <f t="shared" si="11"/>
        <v/>
      </c>
      <c r="N66" s="56" t="str">
        <f t="shared" si="12"/>
        <v/>
      </c>
      <c r="O66" s="56" t="str">
        <f t="shared" si="13"/>
        <v/>
      </c>
      <c r="P66" s="40"/>
    </row>
    <row r="67" spans="2:16" x14ac:dyDescent="0.25">
      <c r="B67" s="67" t="str">
        <f t="shared" si="7"/>
        <v/>
      </c>
      <c r="C67" s="37"/>
      <c r="D67" s="28"/>
      <c r="E67" s="38"/>
      <c r="F67" s="38"/>
      <c r="G67" s="38"/>
      <c r="H67" s="38"/>
      <c r="I67" s="68" t="str">
        <f t="shared" si="8"/>
        <v/>
      </c>
      <c r="J67" s="40"/>
      <c r="K67" s="63" t="str">
        <f t="shared" si="9"/>
        <v/>
      </c>
      <c r="L67" s="68" t="str">
        <f t="shared" si="10"/>
        <v/>
      </c>
      <c r="M67" s="69" t="str">
        <f t="shared" si="11"/>
        <v/>
      </c>
      <c r="N67" s="63" t="str">
        <f t="shared" si="12"/>
        <v/>
      </c>
      <c r="O67" s="63" t="str">
        <f t="shared" si="13"/>
        <v/>
      </c>
      <c r="P67" s="40"/>
    </row>
    <row r="68" spans="2:16" x14ac:dyDescent="0.25">
      <c r="B68" s="64" t="str">
        <f t="shared" si="7"/>
        <v/>
      </c>
      <c r="C68" s="37"/>
      <c r="D68" s="28"/>
      <c r="E68" s="38"/>
      <c r="F68" s="38"/>
      <c r="G68" s="38"/>
      <c r="H68" s="38"/>
      <c r="I68" s="65" t="str">
        <f t="shared" si="8"/>
        <v/>
      </c>
      <c r="J68" s="40"/>
      <c r="K68" s="56" t="str">
        <f t="shared" si="9"/>
        <v/>
      </c>
      <c r="L68" s="65" t="str">
        <f t="shared" si="10"/>
        <v/>
      </c>
      <c r="M68" s="66" t="str">
        <f t="shared" si="11"/>
        <v/>
      </c>
      <c r="N68" s="56" t="str">
        <f t="shared" si="12"/>
        <v/>
      </c>
      <c r="O68" s="56" t="str">
        <f t="shared" si="13"/>
        <v/>
      </c>
      <c r="P68" s="40"/>
    </row>
    <row r="69" spans="2:16" x14ac:dyDescent="0.25">
      <c r="B69" s="67" t="str">
        <f t="shared" si="7"/>
        <v/>
      </c>
      <c r="C69" s="37"/>
      <c r="D69" s="28"/>
      <c r="E69" s="38"/>
      <c r="F69" s="38"/>
      <c r="G69" s="38"/>
      <c r="H69" s="38"/>
      <c r="I69" s="68" t="str">
        <f t="shared" si="8"/>
        <v/>
      </c>
      <c r="J69" s="40"/>
      <c r="K69" s="63" t="str">
        <f t="shared" si="9"/>
        <v/>
      </c>
      <c r="L69" s="68" t="str">
        <f t="shared" si="10"/>
        <v/>
      </c>
      <c r="M69" s="69" t="str">
        <f t="shared" si="11"/>
        <v/>
      </c>
      <c r="N69" s="63" t="str">
        <f t="shared" si="12"/>
        <v/>
      </c>
      <c r="O69" s="63" t="str">
        <f t="shared" si="13"/>
        <v/>
      </c>
      <c r="P69" s="40"/>
    </row>
    <row r="70" spans="2:16" x14ac:dyDescent="0.25">
      <c r="B70" s="64" t="str">
        <f t="shared" si="7"/>
        <v/>
      </c>
      <c r="C70" s="37"/>
      <c r="D70" s="28"/>
      <c r="E70" s="38"/>
      <c r="F70" s="38"/>
      <c r="G70" s="38"/>
      <c r="H70" s="38"/>
      <c r="I70" s="65" t="str">
        <f t="shared" si="8"/>
        <v/>
      </c>
      <c r="J70" s="40"/>
      <c r="K70" s="56" t="str">
        <f t="shared" si="9"/>
        <v/>
      </c>
      <c r="L70" s="65" t="str">
        <f t="shared" si="10"/>
        <v/>
      </c>
      <c r="M70" s="66" t="str">
        <f t="shared" si="11"/>
        <v/>
      </c>
      <c r="N70" s="56" t="str">
        <f t="shared" si="12"/>
        <v/>
      </c>
      <c r="O70" s="56" t="str">
        <f t="shared" si="13"/>
        <v/>
      </c>
      <c r="P70" s="40"/>
    </row>
    <row r="71" spans="2:16" x14ac:dyDescent="0.25">
      <c r="B71" s="67" t="str">
        <f t="shared" si="7"/>
        <v/>
      </c>
      <c r="C71" s="37"/>
      <c r="D71" s="28"/>
      <c r="E71" s="38"/>
      <c r="F71" s="38"/>
      <c r="G71" s="38"/>
      <c r="H71" s="38"/>
      <c r="I71" s="68" t="str">
        <f t="shared" si="8"/>
        <v/>
      </c>
      <c r="J71" s="40"/>
      <c r="K71" s="63" t="str">
        <f t="shared" si="9"/>
        <v/>
      </c>
      <c r="L71" s="68" t="str">
        <f t="shared" si="10"/>
        <v/>
      </c>
      <c r="M71" s="69" t="str">
        <f t="shared" si="11"/>
        <v/>
      </c>
      <c r="N71" s="63" t="str">
        <f t="shared" si="12"/>
        <v/>
      </c>
      <c r="O71" s="63" t="str">
        <f t="shared" si="13"/>
        <v/>
      </c>
      <c r="P71" s="40"/>
    </row>
    <row r="72" spans="2:16" x14ac:dyDescent="0.25">
      <c r="B72" s="64" t="str">
        <f t="shared" ref="B72:B107" si="14">IF(OR($C72="",$D72=""),"","S-"&amp;TEXT($C72,"yymmdd")&amp;"-"&amp;UPPER(LEFT($D72,3)))</f>
        <v/>
      </c>
      <c r="C72" s="37"/>
      <c r="D72" s="28"/>
      <c r="E72" s="38"/>
      <c r="F72" s="38"/>
      <c r="G72" s="38"/>
      <c r="H72" s="38"/>
      <c r="I72" s="65" t="str">
        <f t="shared" ref="I72:I107" si="15">IF($B72="","",ROUND(N($E72)-N($F72)-N($G72)+N($H72),2))</f>
        <v/>
      </c>
      <c r="J72" s="40"/>
      <c r="K72" s="56" t="str">
        <f t="shared" ref="K72:K107" si="16">IF($J72="","",IFERROR(INDEX(Txn_In,MATCH(LEFT($J72,7),Txn_ID,0))-INDEX(Txn_Out,MATCH(LEFT($J72,7),Txn_ID,0)),"TXN NOT FOUND"))</f>
        <v/>
      </c>
      <c r="L72" s="65" t="str">
        <f t="shared" ref="L72:L107" si="17">IF(OR($B72="",$J72="",NOT(ISNUMBER($K72))),"",ROUND($I72-$K72,2))</f>
        <v/>
      </c>
      <c r="M72" s="66" t="str">
        <f t="shared" ref="M72:M107" si="18">IF($B72="","",IF($J72="","Link a Txn ID",IF(NOT(ISNUMBER($K72)),"TXN NOT FOUND",IF(AND(N($E72)=0,N($F72)=0,N($G72)=0,N($H72)=0),"NO SETTLEMENT AMOUNTS ENTERED",IF(SUMPRODUCT(--(LEFT($J$8:$J$107,7)=LEFT($J72,7)))&gt;1,"DUPLICATE LINK",IF(IFERROR(INDEX(Txn_Treat,MATCH(LEFT($J72,7),Txn_ID,0)),"")&lt;&gt;"Balance Sheet / Clearing","WRONG CATEGORY - must be clearing",IF(ABS(N($L72))&lt;0.005,"Tied out","CHECK SETTLEMENT")))))))</f>
        <v/>
      </c>
      <c r="N72" s="56" t="str">
        <f t="shared" ref="N72:N107" si="19">IF($B72="","",IF($M72&lt;&gt;"Tied out",0,ROUND(N($E72)-N($G72),2)))</f>
        <v/>
      </c>
      <c r="O72" s="56" t="str">
        <f t="shared" ref="O72:O107" si="20">IF($B72="","",IF($M72&lt;&gt;"Tied out",0,ROUND(N($F72),2)))</f>
        <v/>
      </c>
      <c r="P72" s="40"/>
    </row>
    <row r="73" spans="2:16" x14ac:dyDescent="0.25">
      <c r="B73" s="67" t="str">
        <f t="shared" si="14"/>
        <v/>
      </c>
      <c r="C73" s="37"/>
      <c r="D73" s="28"/>
      <c r="E73" s="38"/>
      <c r="F73" s="38"/>
      <c r="G73" s="38"/>
      <c r="H73" s="38"/>
      <c r="I73" s="68" t="str">
        <f t="shared" si="15"/>
        <v/>
      </c>
      <c r="J73" s="40"/>
      <c r="K73" s="63" t="str">
        <f t="shared" si="16"/>
        <v/>
      </c>
      <c r="L73" s="68" t="str">
        <f t="shared" si="17"/>
        <v/>
      </c>
      <c r="M73" s="69" t="str">
        <f t="shared" si="18"/>
        <v/>
      </c>
      <c r="N73" s="63" t="str">
        <f t="shared" si="19"/>
        <v/>
      </c>
      <c r="O73" s="63" t="str">
        <f t="shared" si="20"/>
        <v/>
      </c>
      <c r="P73" s="40"/>
    </row>
    <row r="74" spans="2:16" x14ac:dyDescent="0.25">
      <c r="B74" s="64" t="str">
        <f t="shared" si="14"/>
        <v/>
      </c>
      <c r="C74" s="37"/>
      <c r="D74" s="28"/>
      <c r="E74" s="38"/>
      <c r="F74" s="38"/>
      <c r="G74" s="38"/>
      <c r="H74" s="38"/>
      <c r="I74" s="65" t="str">
        <f t="shared" si="15"/>
        <v/>
      </c>
      <c r="J74" s="40"/>
      <c r="K74" s="56" t="str">
        <f t="shared" si="16"/>
        <v/>
      </c>
      <c r="L74" s="65" t="str">
        <f t="shared" si="17"/>
        <v/>
      </c>
      <c r="M74" s="66" t="str">
        <f t="shared" si="18"/>
        <v/>
      </c>
      <c r="N74" s="56" t="str">
        <f t="shared" si="19"/>
        <v/>
      </c>
      <c r="O74" s="56" t="str">
        <f t="shared" si="20"/>
        <v/>
      </c>
      <c r="P74" s="40"/>
    </row>
    <row r="75" spans="2:16" x14ac:dyDescent="0.25">
      <c r="B75" s="67" t="str">
        <f t="shared" si="14"/>
        <v/>
      </c>
      <c r="C75" s="37"/>
      <c r="D75" s="28"/>
      <c r="E75" s="38"/>
      <c r="F75" s="38"/>
      <c r="G75" s="38"/>
      <c r="H75" s="38"/>
      <c r="I75" s="68" t="str">
        <f t="shared" si="15"/>
        <v/>
      </c>
      <c r="J75" s="40"/>
      <c r="K75" s="63" t="str">
        <f t="shared" si="16"/>
        <v/>
      </c>
      <c r="L75" s="68" t="str">
        <f t="shared" si="17"/>
        <v/>
      </c>
      <c r="M75" s="69" t="str">
        <f t="shared" si="18"/>
        <v/>
      </c>
      <c r="N75" s="63" t="str">
        <f t="shared" si="19"/>
        <v/>
      </c>
      <c r="O75" s="63" t="str">
        <f t="shared" si="20"/>
        <v/>
      </c>
      <c r="P75" s="40"/>
    </row>
    <row r="76" spans="2:16" x14ac:dyDescent="0.25">
      <c r="B76" s="64" t="str">
        <f t="shared" si="14"/>
        <v/>
      </c>
      <c r="C76" s="37"/>
      <c r="D76" s="28"/>
      <c r="E76" s="38"/>
      <c r="F76" s="38"/>
      <c r="G76" s="38"/>
      <c r="H76" s="38"/>
      <c r="I76" s="65" t="str">
        <f t="shared" si="15"/>
        <v/>
      </c>
      <c r="J76" s="40"/>
      <c r="K76" s="56" t="str">
        <f t="shared" si="16"/>
        <v/>
      </c>
      <c r="L76" s="65" t="str">
        <f t="shared" si="17"/>
        <v/>
      </c>
      <c r="M76" s="66" t="str">
        <f t="shared" si="18"/>
        <v/>
      </c>
      <c r="N76" s="56" t="str">
        <f t="shared" si="19"/>
        <v/>
      </c>
      <c r="O76" s="56" t="str">
        <f t="shared" si="20"/>
        <v/>
      </c>
      <c r="P76" s="40"/>
    </row>
    <row r="77" spans="2:16" x14ac:dyDescent="0.25">
      <c r="B77" s="67" t="str">
        <f t="shared" si="14"/>
        <v/>
      </c>
      <c r="C77" s="37"/>
      <c r="D77" s="28"/>
      <c r="E77" s="38"/>
      <c r="F77" s="38"/>
      <c r="G77" s="38"/>
      <c r="H77" s="38"/>
      <c r="I77" s="68" t="str">
        <f t="shared" si="15"/>
        <v/>
      </c>
      <c r="J77" s="40"/>
      <c r="K77" s="63" t="str">
        <f t="shared" si="16"/>
        <v/>
      </c>
      <c r="L77" s="68" t="str">
        <f t="shared" si="17"/>
        <v/>
      </c>
      <c r="M77" s="69" t="str">
        <f t="shared" si="18"/>
        <v/>
      </c>
      <c r="N77" s="63" t="str">
        <f t="shared" si="19"/>
        <v/>
      </c>
      <c r="O77" s="63" t="str">
        <f t="shared" si="20"/>
        <v/>
      </c>
      <c r="P77" s="40"/>
    </row>
    <row r="78" spans="2:16" x14ac:dyDescent="0.25">
      <c r="B78" s="64" t="str">
        <f t="shared" si="14"/>
        <v/>
      </c>
      <c r="C78" s="37"/>
      <c r="D78" s="28"/>
      <c r="E78" s="38"/>
      <c r="F78" s="38"/>
      <c r="G78" s="38"/>
      <c r="H78" s="38"/>
      <c r="I78" s="65" t="str">
        <f t="shared" si="15"/>
        <v/>
      </c>
      <c r="J78" s="40"/>
      <c r="K78" s="56" t="str">
        <f t="shared" si="16"/>
        <v/>
      </c>
      <c r="L78" s="65" t="str">
        <f t="shared" si="17"/>
        <v/>
      </c>
      <c r="M78" s="66" t="str">
        <f t="shared" si="18"/>
        <v/>
      </c>
      <c r="N78" s="56" t="str">
        <f t="shared" si="19"/>
        <v/>
      </c>
      <c r="O78" s="56" t="str">
        <f t="shared" si="20"/>
        <v/>
      </c>
      <c r="P78" s="40"/>
    </row>
    <row r="79" spans="2:16" x14ac:dyDescent="0.25">
      <c r="B79" s="67" t="str">
        <f t="shared" si="14"/>
        <v/>
      </c>
      <c r="C79" s="37"/>
      <c r="D79" s="28"/>
      <c r="E79" s="38"/>
      <c r="F79" s="38"/>
      <c r="G79" s="38"/>
      <c r="H79" s="38"/>
      <c r="I79" s="68" t="str">
        <f t="shared" si="15"/>
        <v/>
      </c>
      <c r="J79" s="40"/>
      <c r="K79" s="63" t="str">
        <f t="shared" si="16"/>
        <v/>
      </c>
      <c r="L79" s="68" t="str">
        <f t="shared" si="17"/>
        <v/>
      </c>
      <c r="M79" s="69" t="str">
        <f t="shared" si="18"/>
        <v/>
      </c>
      <c r="N79" s="63" t="str">
        <f t="shared" si="19"/>
        <v/>
      </c>
      <c r="O79" s="63" t="str">
        <f t="shared" si="20"/>
        <v/>
      </c>
      <c r="P79" s="40"/>
    </row>
    <row r="80" spans="2:16" x14ac:dyDescent="0.25">
      <c r="B80" s="64" t="str">
        <f t="shared" si="14"/>
        <v/>
      </c>
      <c r="C80" s="37"/>
      <c r="D80" s="28"/>
      <c r="E80" s="38"/>
      <c r="F80" s="38"/>
      <c r="G80" s="38"/>
      <c r="H80" s="38"/>
      <c r="I80" s="65" t="str">
        <f t="shared" si="15"/>
        <v/>
      </c>
      <c r="J80" s="40"/>
      <c r="K80" s="56" t="str">
        <f t="shared" si="16"/>
        <v/>
      </c>
      <c r="L80" s="65" t="str">
        <f t="shared" si="17"/>
        <v/>
      </c>
      <c r="M80" s="66" t="str">
        <f t="shared" si="18"/>
        <v/>
      </c>
      <c r="N80" s="56" t="str">
        <f t="shared" si="19"/>
        <v/>
      </c>
      <c r="O80" s="56" t="str">
        <f t="shared" si="20"/>
        <v/>
      </c>
      <c r="P80" s="40"/>
    </row>
    <row r="81" spans="2:16" x14ac:dyDescent="0.25">
      <c r="B81" s="67" t="str">
        <f t="shared" si="14"/>
        <v/>
      </c>
      <c r="C81" s="37"/>
      <c r="D81" s="28"/>
      <c r="E81" s="38"/>
      <c r="F81" s="38"/>
      <c r="G81" s="38"/>
      <c r="H81" s="38"/>
      <c r="I81" s="68" t="str">
        <f t="shared" si="15"/>
        <v/>
      </c>
      <c r="J81" s="40"/>
      <c r="K81" s="63" t="str">
        <f t="shared" si="16"/>
        <v/>
      </c>
      <c r="L81" s="68" t="str">
        <f t="shared" si="17"/>
        <v/>
      </c>
      <c r="M81" s="69" t="str">
        <f t="shared" si="18"/>
        <v/>
      </c>
      <c r="N81" s="63" t="str">
        <f t="shared" si="19"/>
        <v/>
      </c>
      <c r="O81" s="63" t="str">
        <f t="shared" si="20"/>
        <v/>
      </c>
      <c r="P81" s="40"/>
    </row>
    <row r="82" spans="2:16" x14ac:dyDescent="0.25">
      <c r="B82" s="64" t="str">
        <f t="shared" si="14"/>
        <v/>
      </c>
      <c r="C82" s="37"/>
      <c r="D82" s="28"/>
      <c r="E82" s="38"/>
      <c r="F82" s="38"/>
      <c r="G82" s="38"/>
      <c r="H82" s="38"/>
      <c r="I82" s="65" t="str">
        <f t="shared" si="15"/>
        <v/>
      </c>
      <c r="J82" s="40"/>
      <c r="K82" s="56" t="str">
        <f t="shared" si="16"/>
        <v/>
      </c>
      <c r="L82" s="65" t="str">
        <f t="shared" si="17"/>
        <v/>
      </c>
      <c r="M82" s="66" t="str">
        <f t="shared" si="18"/>
        <v/>
      </c>
      <c r="N82" s="56" t="str">
        <f t="shared" si="19"/>
        <v/>
      </c>
      <c r="O82" s="56" t="str">
        <f t="shared" si="20"/>
        <v/>
      </c>
      <c r="P82" s="40"/>
    </row>
    <row r="83" spans="2:16" x14ac:dyDescent="0.25">
      <c r="B83" s="67" t="str">
        <f t="shared" si="14"/>
        <v/>
      </c>
      <c r="C83" s="37"/>
      <c r="D83" s="28"/>
      <c r="E83" s="38"/>
      <c r="F83" s="38"/>
      <c r="G83" s="38"/>
      <c r="H83" s="38"/>
      <c r="I83" s="68" t="str">
        <f t="shared" si="15"/>
        <v/>
      </c>
      <c r="J83" s="40"/>
      <c r="K83" s="63" t="str">
        <f t="shared" si="16"/>
        <v/>
      </c>
      <c r="L83" s="68" t="str">
        <f t="shared" si="17"/>
        <v/>
      </c>
      <c r="M83" s="69" t="str">
        <f t="shared" si="18"/>
        <v/>
      </c>
      <c r="N83" s="63" t="str">
        <f t="shared" si="19"/>
        <v/>
      </c>
      <c r="O83" s="63" t="str">
        <f t="shared" si="20"/>
        <v/>
      </c>
      <c r="P83" s="40"/>
    </row>
    <row r="84" spans="2:16" x14ac:dyDescent="0.25">
      <c r="B84" s="64" t="str">
        <f t="shared" si="14"/>
        <v/>
      </c>
      <c r="C84" s="37"/>
      <c r="D84" s="28"/>
      <c r="E84" s="38"/>
      <c r="F84" s="38"/>
      <c r="G84" s="38"/>
      <c r="H84" s="38"/>
      <c r="I84" s="65" t="str">
        <f t="shared" si="15"/>
        <v/>
      </c>
      <c r="J84" s="40"/>
      <c r="K84" s="56" t="str">
        <f t="shared" si="16"/>
        <v/>
      </c>
      <c r="L84" s="65" t="str">
        <f t="shared" si="17"/>
        <v/>
      </c>
      <c r="M84" s="66" t="str">
        <f t="shared" si="18"/>
        <v/>
      </c>
      <c r="N84" s="56" t="str">
        <f t="shared" si="19"/>
        <v/>
      </c>
      <c r="O84" s="56" t="str">
        <f t="shared" si="20"/>
        <v/>
      </c>
      <c r="P84" s="40"/>
    </row>
    <row r="85" spans="2:16" x14ac:dyDescent="0.25">
      <c r="B85" s="67" t="str">
        <f t="shared" si="14"/>
        <v/>
      </c>
      <c r="C85" s="37"/>
      <c r="D85" s="28"/>
      <c r="E85" s="38"/>
      <c r="F85" s="38"/>
      <c r="G85" s="38"/>
      <c r="H85" s="38"/>
      <c r="I85" s="68" t="str">
        <f t="shared" si="15"/>
        <v/>
      </c>
      <c r="J85" s="40"/>
      <c r="K85" s="63" t="str">
        <f t="shared" si="16"/>
        <v/>
      </c>
      <c r="L85" s="68" t="str">
        <f t="shared" si="17"/>
        <v/>
      </c>
      <c r="M85" s="69" t="str">
        <f t="shared" si="18"/>
        <v/>
      </c>
      <c r="N85" s="63" t="str">
        <f t="shared" si="19"/>
        <v/>
      </c>
      <c r="O85" s="63" t="str">
        <f t="shared" si="20"/>
        <v/>
      </c>
      <c r="P85" s="40"/>
    </row>
    <row r="86" spans="2:16" x14ac:dyDescent="0.25">
      <c r="B86" s="64" t="str">
        <f t="shared" si="14"/>
        <v/>
      </c>
      <c r="C86" s="37"/>
      <c r="D86" s="28"/>
      <c r="E86" s="38"/>
      <c r="F86" s="38"/>
      <c r="G86" s="38"/>
      <c r="H86" s="38"/>
      <c r="I86" s="65" t="str">
        <f t="shared" si="15"/>
        <v/>
      </c>
      <c r="J86" s="40"/>
      <c r="K86" s="56" t="str">
        <f t="shared" si="16"/>
        <v/>
      </c>
      <c r="L86" s="65" t="str">
        <f t="shared" si="17"/>
        <v/>
      </c>
      <c r="M86" s="66" t="str">
        <f t="shared" si="18"/>
        <v/>
      </c>
      <c r="N86" s="56" t="str">
        <f t="shared" si="19"/>
        <v/>
      </c>
      <c r="O86" s="56" t="str">
        <f t="shared" si="20"/>
        <v/>
      </c>
      <c r="P86" s="40"/>
    </row>
    <row r="87" spans="2:16" x14ac:dyDescent="0.25">
      <c r="B87" s="67" t="str">
        <f t="shared" si="14"/>
        <v/>
      </c>
      <c r="C87" s="37"/>
      <c r="D87" s="28"/>
      <c r="E87" s="38"/>
      <c r="F87" s="38"/>
      <c r="G87" s="38"/>
      <c r="H87" s="38"/>
      <c r="I87" s="68" t="str">
        <f t="shared" si="15"/>
        <v/>
      </c>
      <c r="J87" s="40"/>
      <c r="K87" s="63" t="str">
        <f t="shared" si="16"/>
        <v/>
      </c>
      <c r="L87" s="68" t="str">
        <f t="shared" si="17"/>
        <v/>
      </c>
      <c r="M87" s="69" t="str">
        <f t="shared" si="18"/>
        <v/>
      </c>
      <c r="N87" s="63" t="str">
        <f t="shared" si="19"/>
        <v/>
      </c>
      <c r="O87" s="63" t="str">
        <f t="shared" si="20"/>
        <v/>
      </c>
      <c r="P87" s="40"/>
    </row>
    <row r="88" spans="2:16" x14ac:dyDescent="0.25">
      <c r="B88" s="64" t="str">
        <f t="shared" si="14"/>
        <v/>
      </c>
      <c r="C88" s="37"/>
      <c r="D88" s="28"/>
      <c r="E88" s="38"/>
      <c r="F88" s="38"/>
      <c r="G88" s="38"/>
      <c r="H88" s="38"/>
      <c r="I88" s="65" t="str">
        <f t="shared" si="15"/>
        <v/>
      </c>
      <c r="J88" s="40"/>
      <c r="K88" s="56" t="str">
        <f t="shared" si="16"/>
        <v/>
      </c>
      <c r="L88" s="65" t="str">
        <f t="shared" si="17"/>
        <v/>
      </c>
      <c r="M88" s="66" t="str">
        <f t="shared" si="18"/>
        <v/>
      </c>
      <c r="N88" s="56" t="str">
        <f t="shared" si="19"/>
        <v/>
      </c>
      <c r="O88" s="56" t="str">
        <f t="shared" si="20"/>
        <v/>
      </c>
      <c r="P88" s="40"/>
    </row>
    <row r="89" spans="2:16" x14ac:dyDescent="0.25">
      <c r="B89" s="67" t="str">
        <f t="shared" si="14"/>
        <v/>
      </c>
      <c r="C89" s="37"/>
      <c r="D89" s="28"/>
      <c r="E89" s="38"/>
      <c r="F89" s="38"/>
      <c r="G89" s="38"/>
      <c r="H89" s="38"/>
      <c r="I89" s="68" t="str">
        <f t="shared" si="15"/>
        <v/>
      </c>
      <c r="J89" s="40"/>
      <c r="K89" s="63" t="str">
        <f t="shared" si="16"/>
        <v/>
      </c>
      <c r="L89" s="68" t="str">
        <f t="shared" si="17"/>
        <v/>
      </c>
      <c r="M89" s="69" t="str">
        <f t="shared" si="18"/>
        <v/>
      </c>
      <c r="N89" s="63" t="str">
        <f t="shared" si="19"/>
        <v/>
      </c>
      <c r="O89" s="63" t="str">
        <f t="shared" si="20"/>
        <v/>
      </c>
      <c r="P89" s="40"/>
    </row>
    <row r="90" spans="2:16" x14ac:dyDescent="0.25">
      <c r="B90" s="64" t="str">
        <f t="shared" si="14"/>
        <v/>
      </c>
      <c r="C90" s="37"/>
      <c r="D90" s="28"/>
      <c r="E90" s="38"/>
      <c r="F90" s="38"/>
      <c r="G90" s="38"/>
      <c r="H90" s="38"/>
      <c r="I90" s="65" t="str">
        <f t="shared" si="15"/>
        <v/>
      </c>
      <c r="J90" s="40"/>
      <c r="K90" s="56" t="str">
        <f t="shared" si="16"/>
        <v/>
      </c>
      <c r="L90" s="65" t="str">
        <f t="shared" si="17"/>
        <v/>
      </c>
      <c r="M90" s="66" t="str">
        <f t="shared" si="18"/>
        <v/>
      </c>
      <c r="N90" s="56" t="str">
        <f t="shared" si="19"/>
        <v/>
      </c>
      <c r="O90" s="56" t="str">
        <f t="shared" si="20"/>
        <v/>
      </c>
      <c r="P90" s="40"/>
    </row>
    <row r="91" spans="2:16" x14ac:dyDescent="0.25">
      <c r="B91" s="67" t="str">
        <f t="shared" si="14"/>
        <v/>
      </c>
      <c r="C91" s="37"/>
      <c r="D91" s="28"/>
      <c r="E91" s="38"/>
      <c r="F91" s="38"/>
      <c r="G91" s="38"/>
      <c r="H91" s="38"/>
      <c r="I91" s="68" t="str">
        <f t="shared" si="15"/>
        <v/>
      </c>
      <c r="J91" s="40"/>
      <c r="K91" s="63" t="str">
        <f t="shared" si="16"/>
        <v/>
      </c>
      <c r="L91" s="68" t="str">
        <f t="shared" si="17"/>
        <v/>
      </c>
      <c r="M91" s="69" t="str">
        <f t="shared" si="18"/>
        <v/>
      </c>
      <c r="N91" s="63" t="str">
        <f t="shared" si="19"/>
        <v/>
      </c>
      <c r="O91" s="63" t="str">
        <f t="shared" si="20"/>
        <v/>
      </c>
      <c r="P91" s="40"/>
    </row>
    <row r="92" spans="2:16" x14ac:dyDescent="0.25">
      <c r="B92" s="64" t="str">
        <f t="shared" si="14"/>
        <v/>
      </c>
      <c r="C92" s="37"/>
      <c r="D92" s="28"/>
      <c r="E92" s="38"/>
      <c r="F92" s="38"/>
      <c r="G92" s="38"/>
      <c r="H92" s="38"/>
      <c r="I92" s="65" t="str">
        <f t="shared" si="15"/>
        <v/>
      </c>
      <c r="J92" s="40"/>
      <c r="K92" s="56" t="str">
        <f t="shared" si="16"/>
        <v/>
      </c>
      <c r="L92" s="65" t="str">
        <f t="shared" si="17"/>
        <v/>
      </c>
      <c r="M92" s="66" t="str">
        <f t="shared" si="18"/>
        <v/>
      </c>
      <c r="N92" s="56" t="str">
        <f t="shared" si="19"/>
        <v/>
      </c>
      <c r="O92" s="56" t="str">
        <f t="shared" si="20"/>
        <v/>
      </c>
      <c r="P92" s="40"/>
    </row>
    <row r="93" spans="2:16" x14ac:dyDescent="0.25">
      <c r="B93" s="67" t="str">
        <f t="shared" si="14"/>
        <v/>
      </c>
      <c r="C93" s="37"/>
      <c r="D93" s="28"/>
      <c r="E93" s="38"/>
      <c r="F93" s="38"/>
      <c r="G93" s="38"/>
      <c r="H93" s="38"/>
      <c r="I93" s="68" t="str">
        <f t="shared" si="15"/>
        <v/>
      </c>
      <c r="J93" s="40"/>
      <c r="K93" s="63" t="str">
        <f t="shared" si="16"/>
        <v/>
      </c>
      <c r="L93" s="68" t="str">
        <f t="shared" si="17"/>
        <v/>
      </c>
      <c r="M93" s="69" t="str">
        <f t="shared" si="18"/>
        <v/>
      </c>
      <c r="N93" s="63" t="str">
        <f t="shared" si="19"/>
        <v/>
      </c>
      <c r="O93" s="63" t="str">
        <f t="shared" si="20"/>
        <v/>
      </c>
      <c r="P93" s="40"/>
    </row>
    <row r="94" spans="2:16" x14ac:dyDescent="0.25">
      <c r="B94" s="64" t="str">
        <f t="shared" si="14"/>
        <v/>
      </c>
      <c r="C94" s="37"/>
      <c r="D94" s="28"/>
      <c r="E94" s="38"/>
      <c r="F94" s="38"/>
      <c r="G94" s="38"/>
      <c r="H94" s="38"/>
      <c r="I94" s="65" t="str">
        <f t="shared" si="15"/>
        <v/>
      </c>
      <c r="J94" s="40"/>
      <c r="K94" s="56" t="str">
        <f t="shared" si="16"/>
        <v/>
      </c>
      <c r="L94" s="65" t="str">
        <f t="shared" si="17"/>
        <v/>
      </c>
      <c r="M94" s="66" t="str">
        <f t="shared" si="18"/>
        <v/>
      </c>
      <c r="N94" s="56" t="str">
        <f t="shared" si="19"/>
        <v/>
      </c>
      <c r="O94" s="56" t="str">
        <f t="shared" si="20"/>
        <v/>
      </c>
      <c r="P94" s="40"/>
    </row>
    <row r="95" spans="2:16" x14ac:dyDescent="0.25">
      <c r="B95" s="67" t="str">
        <f t="shared" si="14"/>
        <v/>
      </c>
      <c r="C95" s="37"/>
      <c r="D95" s="28"/>
      <c r="E95" s="38"/>
      <c r="F95" s="38"/>
      <c r="G95" s="38"/>
      <c r="H95" s="38"/>
      <c r="I95" s="68" t="str">
        <f t="shared" si="15"/>
        <v/>
      </c>
      <c r="J95" s="40"/>
      <c r="K95" s="63" t="str">
        <f t="shared" si="16"/>
        <v/>
      </c>
      <c r="L95" s="68" t="str">
        <f t="shared" si="17"/>
        <v/>
      </c>
      <c r="M95" s="69" t="str">
        <f t="shared" si="18"/>
        <v/>
      </c>
      <c r="N95" s="63" t="str">
        <f t="shared" si="19"/>
        <v/>
      </c>
      <c r="O95" s="63" t="str">
        <f t="shared" si="20"/>
        <v/>
      </c>
      <c r="P95" s="40"/>
    </row>
    <row r="96" spans="2:16" x14ac:dyDescent="0.25">
      <c r="B96" s="64" t="str">
        <f t="shared" si="14"/>
        <v/>
      </c>
      <c r="C96" s="37"/>
      <c r="D96" s="28"/>
      <c r="E96" s="38"/>
      <c r="F96" s="38"/>
      <c r="G96" s="38"/>
      <c r="H96" s="38"/>
      <c r="I96" s="65" t="str">
        <f t="shared" si="15"/>
        <v/>
      </c>
      <c r="J96" s="40"/>
      <c r="K96" s="56" t="str">
        <f t="shared" si="16"/>
        <v/>
      </c>
      <c r="L96" s="65" t="str">
        <f t="shared" si="17"/>
        <v/>
      </c>
      <c r="M96" s="66" t="str">
        <f t="shared" si="18"/>
        <v/>
      </c>
      <c r="N96" s="56" t="str">
        <f t="shared" si="19"/>
        <v/>
      </c>
      <c r="O96" s="56" t="str">
        <f t="shared" si="20"/>
        <v/>
      </c>
      <c r="P96" s="40"/>
    </row>
    <row r="97" spans="1:16" x14ac:dyDescent="0.25">
      <c r="B97" s="67" t="str">
        <f t="shared" si="14"/>
        <v/>
      </c>
      <c r="C97" s="37"/>
      <c r="D97" s="28"/>
      <c r="E97" s="38"/>
      <c r="F97" s="38"/>
      <c r="G97" s="38"/>
      <c r="H97" s="38"/>
      <c r="I97" s="68" t="str">
        <f t="shared" si="15"/>
        <v/>
      </c>
      <c r="J97" s="40"/>
      <c r="K97" s="63" t="str">
        <f t="shared" si="16"/>
        <v/>
      </c>
      <c r="L97" s="68" t="str">
        <f t="shared" si="17"/>
        <v/>
      </c>
      <c r="M97" s="69" t="str">
        <f t="shared" si="18"/>
        <v/>
      </c>
      <c r="N97" s="63" t="str">
        <f t="shared" si="19"/>
        <v/>
      </c>
      <c r="O97" s="63" t="str">
        <f t="shared" si="20"/>
        <v/>
      </c>
      <c r="P97" s="40"/>
    </row>
    <row r="98" spans="1:16" x14ac:dyDescent="0.25">
      <c r="B98" s="64" t="str">
        <f t="shared" si="14"/>
        <v/>
      </c>
      <c r="C98" s="37"/>
      <c r="D98" s="28"/>
      <c r="E98" s="38"/>
      <c r="F98" s="38"/>
      <c r="G98" s="38"/>
      <c r="H98" s="38"/>
      <c r="I98" s="65" t="str">
        <f t="shared" si="15"/>
        <v/>
      </c>
      <c r="J98" s="40"/>
      <c r="K98" s="56" t="str">
        <f t="shared" si="16"/>
        <v/>
      </c>
      <c r="L98" s="65" t="str">
        <f t="shared" si="17"/>
        <v/>
      </c>
      <c r="M98" s="66" t="str">
        <f t="shared" si="18"/>
        <v/>
      </c>
      <c r="N98" s="56" t="str">
        <f t="shared" si="19"/>
        <v/>
      </c>
      <c r="O98" s="56" t="str">
        <f t="shared" si="20"/>
        <v/>
      </c>
      <c r="P98" s="40"/>
    </row>
    <row r="99" spans="1:16" x14ac:dyDescent="0.25">
      <c r="B99" s="67" t="str">
        <f t="shared" si="14"/>
        <v/>
      </c>
      <c r="C99" s="37"/>
      <c r="D99" s="28"/>
      <c r="E99" s="38"/>
      <c r="F99" s="38"/>
      <c r="G99" s="38"/>
      <c r="H99" s="38"/>
      <c r="I99" s="68" t="str">
        <f t="shared" si="15"/>
        <v/>
      </c>
      <c r="J99" s="40"/>
      <c r="K99" s="63" t="str">
        <f t="shared" si="16"/>
        <v/>
      </c>
      <c r="L99" s="68" t="str">
        <f t="shared" si="17"/>
        <v/>
      </c>
      <c r="M99" s="69" t="str">
        <f t="shared" si="18"/>
        <v/>
      </c>
      <c r="N99" s="63" t="str">
        <f t="shared" si="19"/>
        <v/>
      </c>
      <c r="O99" s="63" t="str">
        <f t="shared" si="20"/>
        <v/>
      </c>
      <c r="P99" s="40"/>
    </row>
    <row r="100" spans="1:16" x14ac:dyDescent="0.25">
      <c r="B100" s="64" t="str">
        <f t="shared" si="14"/>
        <v/>
      </c>
      <c r="C100" s="37"/>
      <c r="D100" s="28"/>
      <c r="E100" s="38"/>
      <c r="F100" s="38"/>
      <c r="G100" s="38"/>
      <c r="H100" s="38"/>
      <c r="I100" s="65" t="str">
        <f t="shared" si="15"/>
        <v/>
      </c>
      <c r="J100" s="40"/>
      <c r="K100" s="56" t="str">
        <f t="shared" si="16"/>
        <v/>
      </c>
      <c r="L100" s="65" t="str">
        <f t="shared" si="17"/>
        <v/>
      </c>
      <c r="M100" s="66" t="str">
        <f t="shared" si="18"/>
        <v/>
      </c>
      <c r="N100" s="56" t="str">
        <f t="shared" si="19"/>
        <v/>
      </c>
      <c r="O100" s="56" t="str">
        <f t="shared" si="20"/>
        <v/>
      </c>
      <c r="P100" s="40"/>
    </row>
    <row r="101" spans="1:16" x14ac:dyDescent="0.25">
      <c r="B101" s="67" t="str">
        <f t="shared" si="14"/>
        <v/>
      </c>
      <c r="C101" s="37"/>
      <c r="D101" s="28"/>
      <c r="E101" s="38"/>
      <c r="F101" s="38"/>
      <c r="G101" s="38"/>
      <c r="H101" s="38"/>
      <c r="I101" s="68" t="str">
        <f t="shared" si="15"/>
        <v/>
      </c>
      <c r="J101" s="40"/>
      <c r="K101" s="63" t="str">
        <f t="shared" si="16"/>
        <v/>
      </c>
      <c r="L101" s="68" t="str">
        <f t="shared" si="17"/>
        <v/>
      </c>
      <c r="M101" s="69" t="str">
        <f t="shared" si="18"/>
        <v/>
      </c>
      <c r="N101" s="63" t="str">
        <f t="shared" si="19"/>
        <v/>
      </c>
      <c r="O101" s="63" t="str">
        <f t="shared" si="20"/>
        <v/>
      </c>
      <c r="P101" s="40"/>
    </row>
    <row r="102" spans="1:16" x14ac:dyDescent="0.25">
      <c r="B102" s="64" t="str">
        <f t="shared" si="14"/>
        <v/>
      </c>
      <c r="C102" s="37"/>
      <c r="D102" s="28"/>
      <c r="E102" s="38"/>
      <c r="F102" s="38"/>
      <c r="G102" s="38"/>
      <c r="H102" s="38"/>
      <c r="I102" s="65" t="str">
        <f t="shared" si="15"/>
        <v/>
      </c>
      <c r="J102" s="40"/>
      <c r="K102" s="56" t="str">
        <f t="shared" si="16"/>
        <v/>
      </c>
      <c r="L102" s="65" t="str">
        <f t="shared" si="17"/>
        <v/>
      </c>
      <c r="M102" s="66" t="str">
        <f t="shared" si="18"/>
        <v/>
      </c>
      <c r="N102" s="56" t="str">
        <f t="shared" si="19"/>
        <v/>
      </c>
      <c r="O102" s="56" t="str">
        <f t="shared" si="20"/>
        <v/>
      </c>
      <c r="P102" s="40"/>
    </row>
    <row r="103" spans="1:16" x14ac:dyDescent="0.25">
      <c r="B103" s="67" t="str">
        <f t="shared" si="14"/>
        <v/>
      </c>
      <c r="C103" s="37"/>
      <c r="D103" s="28"/>
      <c r="E103" s="38"/>
      <c r="F103" s="38"/>
      <c r="G103" s="38"/>
      <c r="H103" s="38"/>
      <c r="I103" s="68" t="str">
        <f t="shared" si="15"/>
        <v/>
      </c>
      <c r="J103" s="40"/>
      <c r="K103" s="63" t="str">
        <f t="shared" si="16"/>
        <v/>
      </c>
      <c r="L103" s="68" t="str">
        <f t="shared" si="17"/>
        <v/>
      </c>
      <c r="M103" s="69" t="str">
        <f t="shared" si="18"/>
        <v/>
      </c>
      <c r="N103" s="63" t="str">
        <f t="shared" si="19"/>
        <v/>
      </c>
      <c r="O103" s="63" t="str">
        <f t="shared" si="20"/>
        <v/>
      </c>
      <c r="P103" s="40"/>
    </row>
    <row r="104" spans="1:16" x14ac:dyDescent="0.25">
      <c r="B104" s="64" t="str">
        <f t="shared" si="14"/>
        <v/>
      </c>
      <c r="C104" s="37"/>
      <c r="D104" s="28"/>
      <c r="E104" s="38"/>
      <c r="F104" s="38"/>
      <c r="G104" s="38"/>
      <c r="H104" s="38"/>
      <c r="I104" s="65" t="str">
        <f t="shared" si="15"/>
        <v/>
      </c>
      <c r="J104" s="40"/>
      <c r="K104" s="56" t="str">
        <f t="shared" si="16"/>
        <v/>
      </c>
      <c r="L104" s="65" t="str">
        <f t="shared" si="17"/>
        <v/>
      </c>
      <c r="M104" s="66" t="str">
        <f t="shared" si="18"/>
        <v/>
      </c>
      <c r="N104" s="56" t="str">
        <f t="shared" si="19"/>
        <v/>
      </c>
      <c r="O104" s="56" t="str">
        <f t="shared" si="20"/>
        <v/>
      </c>
      <c r="P104" s="40"/>
    </row>
    <row r="105" spans="1:16" x14ac:dyDescent="0.25">
      <c r="B105" s="67" t="str">
        <f t="shared" si="14"/>
        <v/>
      </c>
      <c r="C105" s="37"/>
      <c r="D105" s="28"/>
      <c r="E105" s="38"/>
      <c r="F105" s="38"/>
      <c r="G105" s="38"/>
      <c r="H105" s="38"/>
      <c r="I105" s="68" t="str">
        <f t="shared" si="15"/>
        <v/>
      </c>
      <c r="J105" s="40"/>
      <c r="K105" s="63" t="str">
        <f t="shared" si="16"/>
        <v/>
      </c>
      <c r="L105" s="68" t="str">
        <f t="shared" si="17"/>
        <v/>
      </c>
      <c r="M105" s="69" t="str">
        <f t="shared" si="18"/>
        <v/>
      </c>
      <c r="N105" s="63" t="str">
        <f t="shared" si="19"/>
        <v/>
      </c>
      <c r="O105" s="63" t="str">
        <f t="shared" si="20"/>
        <v/>
      </c>
      <c r="P105" s="40"/>
    </row>
    <row r="106" spans="1:16" x14ac:dyDescent="0.25">
      <c r="B106" s="64" t="str">
        <f t="shared" si="14"/>
        <v/>
      </c>
      <c r="C106" s="37"/>
      <c r="D106" s="28"/>
      <c r="E106" s="38"/>
      <c r="F106" s="38"/>
      <c r="G106" s="38"/>
      <c r="H106" s="38"/>
      <c r="I106" s="65" t="str">
        <f t="shared" si="15"/>
        <v/>
      </c>
      <c r="J106" s="40"/>
      <c r="K106" s="56" t="str">
        <f t="shared" si="16"/>
        <v/>
      </c>
      <c r="L106" s="65" t="str">
        <f t="shared" si="17"/>
        <v/>
      </c>
      <c r="M106" s="66" t="str">
        <f t="shared" si="18"/>
        <v/>
      </c>
      <c r="N106" s="56" t="str">
        <f t="shared" si="19"/>
        <v/>
      </c>
      <c r="O106" s="56" t="str">
        <f t="shared" si="20"/>
        <v/>
      </c>
      <c r="P106" s="40"/>
    </row>
    <row r="107" spans="1:16" x14ac:dyDescent="0.25">
      <c r="B107" s="67" t="str">
        <f t="shared" si="14"/>
        <v/>
      </c>
      <c r="C107" s="37"/>
      <c r="D107" s="28"/>
      <c r="E107" s="38"/>
      <c r="F107" s="38"/>
      <c r="G107" s="38"/>
      <c r="H107" s="38"/>
      <c r="I107" s="68" t="str">
        <f t="shared" si="15"/>
        <v/>
      </c>
      <c r="J107" s="40"/>
      <c r="K107" s="63" t="str">
        <f t="shared" si="16"/>
        <v/>
      </c>
      <c r="L107" s="68" t="str">
        <f t="shared" si="17"/>
        <v/>
      </c>
      <c r="M107" s="69" t="str">
        <f t="shared" si="18"/>
        <v/>
      </c>
      <c r="N107" s="63" t="str">
        <f t="shared" si="19"/>
        <v/>
      </c>
      <c r="O107" s="63" t="str">
        <f t="shared" si="20"/>
        <v/>
      </c>
      <c r="P107" s="40"/>
    </row>
    <row r="108" spans="1:16" ht="17.100000000000001" customHeight="1" x14ac:dyDescent="0.25">
      <c r="A108" s="197" t="s">
        <v>228</v>
      </c>
      <c r="B108" s="173"/>
      <c r="C108" s="173"/>
      <c r="D108" s="173"/>
      <c r="E108" s="173"/>
      <c r="F108" s="173"/>
      <c r="G108" s="173"/>
      <c r="H108" s="173"/>
      <c r="I108" s="173"/>
      <c r="J108" s="173"/>
      <c r="K108" s="173"/>
      <c r="L108" s="173"/>
      <c r="M108" s="173"/>
      <c r="N108" s="173"/>
      <c r="O108" s="173"/>
      <c r="P108" s="173"/>
    </row>
    <row r="109" spans="1:16" x14ac:dyDescent="0.25">
      <c r="A109" s="190" t="s">
        <v>112</v>
      </c>
      <c r="B109" s="191"/>
      <c r="C109" s="30">
        <f>SUMPRODUCT(--('7. Settlements'!$C$8:$C$107&lt;&gt;""))</f>
        <v>0</v>
      </c>
    </row>
    <row r="110" spans="1:16" x14ac:dyDescent="0.25">
      <c r="A110" s="190" t="s">
        <v>113</v>
      </c>
      <c r="B110" s="191"/>
      <c r="C110" s="30">
        <v>100</v>
      </c>
    </row>
    <row r="111" spans="1:16" x14ac:dyDescent="0.25">
      <c r="A111" s="190" t="s">
        <v>114</v>
      </c>
      <c r="B111" s="191"/>
      <c r="C111" s="30">
        <f>MAX(0,100-$C$109)</f>
        <v>100</v>
      </c>
    </row>
    <row r="112" spans="1:16" x14ac:dyDescent="0.25">
      <c r="A112" s="194" t="s">
        <v>115</v>
      </c>
      <c r="B112" s="191"/>
      <c r="C112" s="31" t="str">
        <f>IF($C$111&lt;=0,"FULL - no more rows can be entered",IF($C$111&lt;=10,"NEARLY FULL - contact Powell United","OK"))</f>
        <v>OK</v>
      </c>
      <c r="D112" s="193" t="s">
        <v>229</v>
      </c>
      <c r="E112" s="173"/>
      <c r="F112" s="173"/>
      <c r="G112" s="173"/>
      <c r="H112" s="173"/>
      <c r="I112" s="173"/>
      <c r="J112" s="173"/>
      <c r="K112" s="173"/>
      <c r="L112" s="173"/>
      <c r="M112" s="173"/>
      <c r="N112" s="173"/>
      <c r="O112" s="173"/>
      <c r="P112" s="173"/>
    </row>
    <row r="113" spans="1:16" ht="8.1" customHeight="1" x14ac:dyDescent="0.25"/>
    <row r="114" spans="1:16" ht="8.1" customHeight="1" x14ac:dyDescent="0.25"/>
    <row r="115" spans="1:16" x14ac:dyDescent="0.25">
      <c r="C115" s="216" t="s">
        <v>230</v>
      </c>
      <c r="D115" s="191"/>
      <c r="E115" s="71">
        <f>SUMIFS($E$8:$E$107,$C$8:$C$107,"&gt;="&amp;Yr_Start,$C$8:$C$107,"&lt;="&amp;Yr_End)</f>
        <v>0</v>
      </c>
      <c r="F115" s="71">
        <f>SUMIFS($F$8:$F$107,$C$8:$C$107,"&gt;="&amp;Yr_Start,$C$8:$C$107,"&lt;="&amp;Yr_End)</f>
        <v>0</v>
      </c>
      <c r="G115" s="71">
        <f>SUMIFS($G$8:$G$107,$C$8:$C$107,"&gt;="&amp;Yr_Start,$C$8:$C$107,"&lt;="&amp;Yr_End)</f>
        <v>0</v>
      </c>
      <c r="N115" s="71">
        <f>SUMIFS($N$8:$N$107,$C$8:$C$107,"&gt;="&amp;Yr_Start,$C$8:$C$107,"&lt;="&amp;Yr_End,$M$8:$M$107,"Tied out")</f>
        <v>0</v>
      </c>
      <c r="O115" s="71">
        <f>SUMIFS($O$8:$O$107,$C$8:$C$107,"&gt;="&amp;Yr_Start,$C$8:$C$107,"&lt;="&amp;Yr_End,$M$8:$M$107,"Tied out")</f>
        <v>0</v>
      </c>
    </row>
    <row r="116" spans="1:16" ht="8.1" customHeight="1" x14ac:dyDescent="0.25"/>
    <row r="117" spans="1:16" ht="15.6" customHeight="1" x14ac:dyDescent="0.25">
      <c r="A117" s="187" t="s">
        <v>69</v>
      </c>
      <c r="B117" s="173"/>
      <c r="C117" s="173"/>
      <c r="D117" s="173"/>
      <c r="E117" s="173"/>
      <c r="F117" s="173"/>
      <c r="G117" s="173"/>
      <c r="H117" s="173"/>
      <c r="I117" s="173"/>
      <c r="J117" s="173"/>
      <c r="K117" s="173"/>
      <c r="L117" s="173"/>
      <c r="M117" s="173"/>
      <c r="N117" s="173"/>
      <c r="O117" s="173"/>
      <c r="P117" s="173"/>
    </row>
  </sheetData>
  <sheetProtection sheet="1" formatCells="0" formatColumns="0" formatRows="0" insertRows="0" deleteRows="0"/>
  <autoFilter ref="B7:P107" xr:uid="{00000000-0009-0000-0000-000006000000}"/>
  <mergeCells count="13">
    <mergeCell ref="D112:P112"/>
    <mergeCell ref="A5:P5"/>
    <mergeCell ref="A117:P117"/>
    <mergeCell ref="A108:P108"/>
    <mergeCell ref="C115:D115"/>
    <mergeCell ref="A112:B112"/>
    <mergeCell ref="A1:P1"/>
    <mergeCell ref="A6:P6"/>
    <mergeCell ref="A111:B111"/>
    <mergeCell ref="A3:P3"/>
    <mergeCell ref="A110:B110"/>
    <mergeCell ref="A109:B109"/>
    <mergeCell ref="A2:P2"/>
  </mergeCells>
  <conditionalFormatting sqref="C112">
    <cfRule type="cellIs" dxfId="51" priority="8" operator="equal">
      <formula>"FULL - no more rows can be entered"</formula>
    </cfRule>
    <cfRule type="cellIs" dxfId="50" priority="9" operator="equal">
      <formula>"NEARLY FULL - contact Powell United"</formula>
    </cfRule>
    <cfRule type="cellIs" dxfId="49" priority="10" operator="equal">
      <formula>"OK"</formula>
    </cfRule>
  </conditionalFormatting>
  <conditionalFormatting sqref="M8:M107">
    <cfRule type="cellIs" dxfId="48" priority="1" operator="equal">
      <formula>"Tied out"</formula>
    </cfRule>
    <cfRule type="cellIs" dxfId="47" priority="2" operator="equal">
      <formula>"CHECK SETTLEMENT"</formula>
    </cfRule>
    <cfRule type="cellIs" dxfId="46" priority="3" operator="equal">
      <formula>"TXN NOT FOUND"</formula>
    </cfRule>
    <cfRule type="cellIs" dxfId="45" priority="4" operator="equal">
      <formula>"DUPLICATE LINK"</formula>
    </cfRule>
    <cfRule type="cellIs" dxfId="44" priority="5" operator="equal">
      <formula>"WRONG CATEGORY - must be clearing"</formula>
    </cfRule>
    <cfRule type="cellIs" dxfId="43" priority="6" operator="equal">
      <formula>"Link a Txn ID"</formula>
    </cfRule>
    <cfRule type="cellIs" dxfId="42" priority="7" operator="equal">
      <formula>"NO SETTLEMENT AMOUNTS ENTERED"</formula>
    </cfRule>
  </conditionalFormatting>
  <dataValidations count="3">
    <dataValidation type="list" allowBlank="1" showInputMessage="1" promptTitle="Which deposit is this?" prompt="Pick the ledger row this settlement paid into. Only rows you have categorised as clearing appear here. Typing an ID still works." sqref="J8:J107" xr:uid="{00000000-0002-0000-0600-000000000000}">
      <formula1>Txn_Pick</formula1>
    </dataValidation>
    <dataValidation type="decimal" operator="greaterThanOrEqual" allowBlank="1" showErrorMessage="1" errorTitle="Amount must be zero or positive" error="Enter a positive number. Money In and Money Out are separate columns, so amounts are never negative." sqref="E8:H107" xr:uid="{00000000-0002-0000-0600-000001000000}">
      <formula1>0</formula1>
    </dataValidation>
    <dataValidation type="date" allowBlank="1" showErrorMessage="1" errorTitle="Enter a real date" error="Use a date, for example 03/14/2026." sqref="C8:C107" xr:uid="{00000000-0002-0000-0600-000005000000}">
      <formula1>DATE(2000,1,1)</formula1>
      <formula2>DATE(2100,12,31)</formula2>
    </dataValidation>
  </dataValidation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K118"/>
  <sheetViews>
    <sheetView showGridLines="0" workbookViewId="0">
      <pane ySplit="8" topLeftCell="A9" activePane="bottomLeft" state="frozen"/>
      <selection pane="bottomLeft"/>
    </sheetView>
  </sheetViews>
  <sheetFormatPr defaultRowHeight="15" x14ac:dyDescent="0.25"/>
  <cols>
    <col min="1" max="1" width="3" customWidth="1"/>
    <col min="2" max="2" width="13" customWidth="1"/>
    <col min="3" max="3" width="11" customWidth="1"/>
    <col min="4" max="4" width="22" customWidth="1"/>
    <col min="5" max="5" width="14" customWidth="1"/>
    <col min="6" max="6" width="22" customWidth="1"/>
    <col min="7" max="7" width="14" customWidth="1"/>
    <col min="8" max="9" width="44" customWidth="1"/>
    <col min="10" max="10" width="18" customWidth="1"/>
    <col min="11" max="11" width="44" customWidth="1"/>
  </cols>
  <sheetData>
    <row r="1" spans="1:11" ht="27.95" customHeight="1" x14ac:dyDescent="0.25">
      <c r="A1" s="174" t="s">
        <v>231</v>
      </c>
      <c r="B1" s="173"/>
      <c r="C1" s="173"/>
      <c r="D1" s="173"/>
      <c r="E1" s="173"/>
      <c r="F1" s="173"/>
      <c r="G1" s="173"/>
      <c r="H1" s="173"/>
      <c r="I1" s="173"/>
      <c r="J1" s="173"/>
      <c r="K1" s="173"/>
    </row>
    <row r="2" spans="1:11" ht="17.100000000000001" customHeight="1" x14ac:dyDescent="0.25">
      <c r="A2" s="188" t="s">
        <v>232</v>
      </c>
      <c r="B2" s="173"/>
      <c r="C2" s="173"/>
      <c r="D2" s="173"/>
      <c r="E2" s="173"/>
      <c r="F2" s="173"/>
      <c r="G2" s="173"/>
      <c r="H2" s="173"/>
      <c r="I2" s="173"/>
      <c r="J2" s="173"/>
      <c r="K2" s="173"/>
    </row>
    <row r="3" spans="1:11" ht="14.1" customHeight="1" x14ac:dyDescent="0.25">
      <c r="A3" s="179" t="s">
        <v>2</v>
      </c>
      <c r="B3" s="173"/>
      <c r="C3" s="173"/>
      <c r="D3" s="173"/>
      <c r="E3" s="173"/>
      <c r="F3" s="173"/>
      <c r="G3" s="173"/>
      <c r="H3" s="173"/>
      <c r="I3" s="173"/>
      <c r="J3" s="173"/>
      <c r="K3" s="173"/>
    </row>
    <row r="4" spans="1:11" ht="8.1" customHeight="1" x14ac:dyDescent="0.25"/>
    <row r="5" spans="1:11" ht="30.6" customHeight="1" x14ac:dyDescent="0.25">
      <c r="A5" s="192" t="s">
        <v>233</v>
      </c>
      <c r="B5" s="173"/>
      <c r="C5" s="173"/>
      <c r="D5" s="173"/>
      <c r="E5" s="173"/>
      <c r="F5" s="173"/>
      <c r="G5" s="173"/>
      <c r="H5" s="173"/>
      <c r="I5" s="173"/>
      <c r="J5" s="173"/>
      <c r="K5" s="173"/>
    </row>
    <row r="6" spans="1:11" ht="96.6" customHeight="1" x14ac:dyDescent="0.25">
      <c r="A6" s="215" t="s">
        <v>234</v>
      </c>
      <c r="B6" s="173"/>
      <c r="C6" s="173"/>
      <c r="D6" s="173"/>
      <c r="E6" s="173"/>
      <c r="F6" s="173"/>
      <c r="G6" s="173"/>
      <c r="H6" s="173"/>
      <c r="I6" s="173"/>
      <c r="J6" s="173"/>
      <c r="K6" s="173"/>
    </row>
    <row r="7" spans="1:11" ht="8.1" customHeight="1" x14ac:dyDescent="0.25"/>
    <row r="8" spans="1:11" ht="33.950000000000003" customHeight="1" x14ac:dyDescent="0.25">
      <c r="A8" s="27"/>
      <c r="B8" s="27" t="s">
        <v>235</v>
      </c>
      <c r="C8" s="27" t="s">
        <v>159</v>
      </c>
      <c r="D8" s="27" t="s">
        <v>236</v>
      </c>
      <c r="E8" s="27" t="s">
        <v>237</v>
      </c>
      <c r="F8" s="27" t="s">
        <v>238</v>
      </c>
      <c r="G8" s="27" t="s">
        <v>239</v>
      </c>
      <c r="H8" s="27" t="s">
        <v>240</v>
      </c>
      <c r="I8" s="27" t="s">
        <v>241</v>
      </c>
      <c r="J8" s="27" t="s">
        <v>242</v>
      </c>
      <c r="K8" s="27" t="s">
        <v>204</v>
      </c>
    </row>
    <row r="9" spans="1:11" x14ac:dyDescent="0.25">
      <c r="B9" s="67" t="str">
        <f t="shared" ref="B9:B40" si="0">IF(OR($C9="",N($E9)=0),"","T-"&amp;TEXT($C9,"yymmdd")&amp;"-"&amp;TEXT(ROUND(N($E9),0),"0"))</f>
        <v/>
      </c>
      <c r="C9" s="37"/>
      <c r="D9" s="28"/>
      <c r="E9" s="38"/>
      <c r="F9" s="28"/>
      <c r="G9" s="38"/>
      <c r="H9" s="29"/>
      <c r="I9" s="29"/>
      <c r="J9" s="69" t="str">
        <f t="shared" ref="J9:J40" si="1">IF($B9="","",IF(OR($H9="",$I9=""),"UNMATCHED - review",IF(ABS(N($E9)-N($G9))&lt;0.005,"Matched","AMOUNT MISMATCH")))</f>
        <v/>
      </c>
      <c r="K9" s="40"/>
    </row>
    <row r="10" spans="1:11" x14ac:dyDescent="0.25">
      <c r="B10" s="64" t="str">
        <f t="shared" si="0"/>
        <v/>
      </c>
      <c r="C10" s="37"/>
      <c r="D10" s="28"/>
      <c r="E10" s="38"/>
      <c r="F10" s="28"/>
      <c r="G10" s="38"/>
      <c r="H10" s="29"/>
      <c r="I10" s="29"/>
      <c r="J10" s="66" t="str">
        <f t="shared" si="1"/>
        <v/>
      </c>
      <c r="K10" s="40"/>
    </row>
    <row r="11" spans="1:11" x14ac:dyDescent="0.25">
      <c r="B11" s="67" t="str">
        <f t="shared" si="0"/>
        <v/>
      </c>
      <c r="C11" s="37"/>
      <c r="D11" s="28"/>
      <c r="E11" s="38"/>
      <c r="F11" s="28"/>
      <c r="G11" s="38"/>
      <c r="H11" s="29"/>
      <c r="I11" s="29"/>
      <c r="J11" s="69" t="str">
        <f t="shared" si="1"/>
        <v/>
      </c>
      <c r="K11" s="40"/>
    </row>
    <row r="12" spans="1:11" x14ac:dyDescent="0.25">
      <c r="B12" s="64" t="str">
        <f t="shared" si="0"/>
        <v/>
      </c>
      <c r="C12" s="37"/>
      <c r="D12" s="28"/>
      <c r="E12" s="38"/>
      <c r="F12" s="28"/>
      <c r="G12" s="38"/>
      <c r="H12" s="29"/>
      <c r="I12" s="29"/>
      <c r="J12" s="66" t="str">
        <f t="shared" si="1"/>
        <v/>
      </c>
      <c r="K12" s="40"/>
    </row>
    <row r="13" spans="1:11" x14ac:dyDescent="0.25">
      <c r="B13" s="67" t="str">
        <f t="shared" si="0"/>
        <v/>
      </c>
      <c r="C13" s="37"/>
      <c r="D13" s="28"/>
      <c r="E13" s="38"/>
      <c r="F13" s="28"/>
      <c r="G13" s="38"/>
      <c r="H13" s="29"/>
      <c r="I13" s="29"/>
      <c r="J13" s="69" t="str">
        <f t="shared" si="1"/>
        <v/>
      </c>
      <c r="K13" s="40"/>
    </row>
    <row r="14" spans="1:11" x14ac:dyDescent="0.25">
      <c r="B14" s="64" t="str">
        <f t="shared" si="0"/>
        <v/>
      </c>
      <c r="C14" s="37"/>
      <c r="D14" s="28"/>
      <c r="E14" s="38"/>
      <c r="F14" s="28"/>
      <c r="G14" s="38"/>
      <c r="H14" s="29"/>
      <c r="I14" s="29"/>
      <c r="J14" s="66" t="str">
        <f t="shared" si="1"/>
        <v/>
      </c>
      <c r="K14" s="40"/>
    </row>
    <row r="15" spans="1:11" x14ac:dyDescent="0.25">
      <c r="B15" s="67" t="str">
        <f t="shared" si="0"/>
        <v/>
      </c>
      <c r="C15" s="37"/>
      <c r="D15" s="28"/>
      <c r="E15" s="38"/>
      <c r="F15" s="28"/>
      <c r="G15" s="38"/>
      <c r="H15" s="29"/>
      <c r="I15" s="29"/>
      <c r="J15" s="69" t="str">
        <f t="shared" si="1"/>
        <v/>
      </c>
      <c r="K15" s="40"/>
    </row>
    <row r="16" spans="1:11" x14ac:dyDescent="0.25">
      <c r="B16" s="64" t="str">
        <f t="shared" si="0"/>
        <v/>
      </c>
      <c r="C16" s="37"/>
      <c r="D16" s="28"/>
      <c r="E16" s="38"/>
      <c r="F16" s="28"/>
      <c r="G16" s="38"/>
      <c r="H16" s="29"/>
      <c r="I16" s="29"/>
      <c r="J16" s="66" t="str">
        <f t="shared" si="1"/>
        <v/>
      </c>
      <c r="K16" s="40"/>
    </row>
    <row r="17" spans="2:11" x14ac:dyDescent="0.25">
      <c r="B17" s="67" t="str">
        <f t="shared" si="0"/>
        <v/>
      </c>
      <c r="C17" s="37"/>
      <c r="D17" s="28"/>
      <c r="E17" s="38"/>
      <c r="F17" s="28"/>
      <c r="G17" s="38"/>
      <c r="H17" s="29"/>
      <c r="I17" s="29"/>
      <c r="J17" s="69" t="str">
        <f t="shared" si="1"/>
        <v/>
      </c>
      <c r="K17" s="40"/>
    </row>
    <row r="18" spans="2:11" x14ac:dyDescent="0.25">
      <c r="B18" s="64" t="str">
        <f t="shared" si="0"/>
        <v/>
      </c>
      <c r="C18" s="37"/>
      <c r="D18" s="28"/>
      <c r="E18" s="38"/>
      <c r="F18" s="28"/>
      <c r="G18" s="38"/>
      <c r="H18" s="29"/>
      <c r="I18" s="29"/>
      <c r="J18" s="66" t="str">
        <f t="shared" si="1"/>
        <v/>
      </c>
      <c r="K18" s="40"/>
    </row>
    <row r="19" spans="2:11" x14ac:dyDescent="0.25">
      <c r="B19" s="67" t="str">
        <f t="shared" si="0"/>
        <v/>
      </c>
      <c r="C19" s="37"/>
      <c r="D19" s="28"/>
      <c r="E19" s="38"/>
      <c r="F19" s="28"/>
      <c r="G19" s="38"/>
      <c r="H19" s="29"/>
      <c r="I19" s="29"/>
      <c r="J19" s="69" t="str">
        <f t="shared" si="1"/>
        <v/>
      </c>
      <c r="K19" s="40"/>
    </row>
    <row r="20" spans="2:11" x14ac:dyDescent="0.25">
      <c r="B20" s="64" t="str">
        <f t="shared" si="0"/>
        <v/>
      </c>
      <c r="C20" s="37"/>
      <c r="D20" s="28"/>
      <c r="E20" s="38"/>
      <c r="F20" s="28"/>
      <c r="G20" s="38"/>
      <c r="H20" s="29"/>
      <c r="I20" s="29"/>
      <c r="J20" s="66" t="str">
        <f t="shared" si="1"/>
        <v/>
      </c>
      <c r="K20" s="40"/>
    </row>
    <row r="21" spans="2:11" x14ac:dyDescent="0.25">
      <c r="B21" s="67" t="str">
        <f t="shared" si="0"/>
        <v/>
      </c>
      <c r="C21" s="37"/>
      <c r="D21" s="28"/>
      <c r="E21" s="38"/>
      <c r="F21" s="28"/>
      <c r="G21" s="38"/>
      <c r="H21" s="29"/>
      <c r="I21" s="29"/>
      <c r="J21" s="69" t="str">
        <f t="shared" si="1"/>
        <v/>
      </c>
      <c r="K21" s="40"/>
    </row>
    <row r="22" spans="2:11" x14ac:dyDescent="0.25">
      <c r="B22" s="64" t="str">
        <f t="shared" si="0"/>
        <v/>
      </c>
      <c r="C22" s="37"/>
      <c r="D22" s="28"/>
      <c r="E22" s="38"/>
      <c r="F22" s="28"/>
      <c r="G22" s="38"/>
      <c r="H22" s="29"/>
      <c r="I22" s="29"/>
      <c r="J22" s="66" t="str">
        <f t="shared" si="1"/>
        <v/>
      </c>
      <c r="K22" s="40"/>
    </row>
    <row r="23" spans="2:11" x14ac:dyDescent="0.25">
      <c r="B23" s="67" t="str">
        <f t="shared" si="0"/>
        <v/>
      </c>
      <c r="C23" s="37"/>
      <c r="D23" s="28"/>
      <c r="E23" s="38"/>
      <c r="F23" s="28"/>
      <c r="G23" s="38"/>
      <c r="H23" s="29"/>
      <c r="I23" s="29"/>
      <c r="J23" s="69" t="str">
        <f t="shared" si="1"/>
        <v/>
      </c>
      <c r="K23" s="40"/>
    </row>
    <row r="24" spans="2:11" x14ac:dyDescent="0.25">
      <c r="B24" s="64" t="str">
        <f t="shared" si="0"/>
        <v/>
      </c>
      <c r="C24" s="37"/>
      <c r="D24" s="28"/>
      <c r="E24" s="38"/>
      <c r="F24" s="28"/>
      <c r="G24" s="38"/>
      <c r="H24" s="29"/>
      <c r="I24" s="29"/>
      <c r="J24" s="66" t="str">
        <f t="shared" si="1"/>
        <v/>
      </c>
      <c r="K24" s="40"/>
    </row>
    <row r="25" spans="2:11" x14ac:dyDescent="0.25">
      <c r="B25" s="67" t="str">
        <f t="shared" si="0"/>
        <v/>
      </c>
      <c r="C25" s="37"/>
      <c r="D25" s="28"/>
      <c r="E25" s="38"/>
      <c r="F25" s="28"/>
      <c r="G25" s="38"/>
      <c r="H25" s="29"/>
      <c r="I25" s="29"/>
      <c r="J25" s="69" t="str">
        <f t="shared" si="1"/>
        <v/>
      </c>
      <c r="K25" s="40"/>
    </row>
    <row r="26" spans="2:11" x14ac:dyDescent="0.25">
      <c r="B26" s="64" t="str">
        <f t="shared" si="0"/>
        <v/>
      </c>
      <c r="C26" s="37"/>
      <c r="D26" s="28"/>
      <c r="E26" s="38"/>
      <c r="F26" s="28"/>
      <c r="G26" s="38"/>
      <c r="H26" s="29"/>
      <c r="I26" s="29"/>
      <c r="J26" s="66" t="str">
        <f t="shared" si="1"/>
        <v/>
      </c>
      <c r="K26" s="40"/>
    </row>
    <row r="27" spans="2:11" x14ac:dyDescent="0.25">
      <c r="B27" s="67" t="str">
        <f t="shared" si="0"/>
        <v/>
      </c>
      <c r="C27" s="37"/>
      <c r="D27" s="28"/>
      <c r="E27" s="38"/>
      <c r="F27" s="28"/>
      <c r="G27" s="38"/>
      <c r="H27" s="29"/>
      <c r="I27" s="29"/>
      <c r="J27" s="69" t="str">
        <f t="shared" si="1"/>
        <v/>
      </c>
      <c r="K27" s="40"/>
    </row>
    <row r="28" spans="2:11" x14ac:dyDescent="0.25">
      <c r="B28" s="64" t="str">
        <f t="shared" si="0"/>
        <v/>
      </c>
      <c r="C28" s="37"/>
      <c r="D28" s="28"/>
      <c r="E28" s="38"/>
      <c r="F28" s="28"/>
      <c r="G28" s="38"/>
      <c r="H28" s="29"/>
      <c r="I28" s="29"/>
      <c r="J28" s="66" t="str">
        <f t="shared" si="1"/>
        <v/>
      </c>
      <c r="K28" s="40"/>
    </row>
    <row r="29" spans="2:11" x14ac:dyDescent="0.25">
      <c r="B29" s="67" t="str">
        <f t="shared" si="0"/>
        <v/>
      </c>
      <c r="C29" s="37"/>
      <c r="D29" s="28"/>
      <c r="E29" s="38"/>
      <c r="F29" s="28"/>
      <c r="G29" s="38"/>
      <c r="H29" s="29"/>
      <c r="I29" s="29"/>
      <c r="J29" s="69" t="str">
        <f t="shared" si="1"/>
        <v/>
      </c>
      <c r="K29" s="40"/>
    </row>
    <row r="30" spans="2:11" x14ac:dyDescent="0.25">
      <c r="B30" s="64" t="str">
        <f t="shared" si="0"/>
        <v/>
      </c>
      <c r="C30" s="37"/>
      <c r="D30" s="28"/>
      <c r="E30" s="38"/>
      <c r="F30" s="28"/>
      <c r="G30" s="38"/>
      <c r="H30" s="29"/>
      <c r="I30" s="29"/>
      <c r="J30" s="66" t="str">
        <f t="shared" si="1"/>
        <v/>
      </c>
      <c r="K30" s="40"/>
    </row>
    <row r="31" spans="2:11" x14ac:dyDescent="0.25">
      <c r="B31" s="67" t="str">
        <f t="shared" si="0"/>
        <v/>
      </c>
      <c r="C31" s="37"/>
      <c r="D31" s="28"/>
      <c r="E31" s="38"/>
      <c r="F31" s="28"/>
      <c r="G31" s="38"/>
      <c r="H31" s="29"/>
      <c r="I31" s="29"/>
      <c r="J31" s="69" t="str">
        <f t="shared" si="1"/>
        <v/>
      </c>
      <c r="K31" s="40"/>
    </row>
    <row r="32" spans="2:11" x14ac:dyDescent="0.25">
      <c r="B32" s="64" t="str">
        <f t="shared" si="0"/>
        <v/>
      </c>
      <c r="C32" s="37"/>
      <c r="D32" s="28"/>
      <c r="E32" s="38"/>
      <c r="F32" s="28"/>
      <c r="G32" s="38"/>
      <c r="H32" s="29"/>
      <c r="I32" s="29"/>
      <c r="J32" s="66" t="str">
        <f t="shared" si="1"/>
        <v/>
      </c>
      <c r="K32" s="40"/>
    </row>
    <row r="33" spans="2:11" x14ac:dyDescent="0.25">
      <c r="B33" s="67" t="str">
        <f t="shared" si="0"/>
        <v/>
      </c>
      <c r="C33" s="37"/>
      <c r="D33" s="28"/>
      <c r="E33" s="38"/>
      <c r="F33" s="28"/>
      <c r="G33" s="38"/>
      <c r="H33" s="29"/>
      <c r="I33" s="29"/>
      <c r="J33" s="69" t="str">
        <f t="shared" si="1"/>
        <v/>
      </c>
      <c r="K33" s="40"/>
    </row>
    <row r="34" spans="2:11" x14ac:dyDescent="0.25">
      <c r="B34" s="64" t="str">
        <f t="shared" si="0"/>
        <v/>
      </c>
      <c r="C34" s="37"/>
      <c r="D34" s="28"/>
      <c r="E34" s="38"/>
      <c r="F34" s="28"/>
      <c r="G34" s="38"/>
      <c r="H34" s="29"/>
      <c r="I34" s="29"/>
      <c r="J34" s="66" t="str">
        <f t="shared" si="1"/>
        <v/>
      </c>
      <c r="K34" s="40"/>
    </row>
    <row r="35" spans="2:11" x14ac:dyDescent="0.25">
      <c r="B35" s="67" t="str">
        <f t="shared" si="0"/>
        <v/>
      </c>
      <c r="C35" s="37"/>
      <c r="D35" s="28"/>
      <c r="E35" s="38"/>
      <c r="F35" s="28"/>
      <c r="G35" s="38"/>
      <c r="H35" s="29"/>
      <c r="I35" s="29"/>
      <c r="J35" s="69" t="str">
        <f t="shared" si="1"/>
        <v/>
      </c>
      <c r="K35" s="40"/>
    </row>
    <row r="36" spans="2:11" x14ac:dyDescent="0.25">
      <c r="B36" s="64" t="str">
        <f t="shared" si="0"/>
        <v/>
      </c>
      <c r="C36" s="37"/>
      <c r="D36" s="28"/>
      <c r="E36" s="38"/>
      <c r="F36" s="28"/>
      <c r="G36" s="38"/>
      <c r="H36" s="29"/>
      <c r="I36" s="29"/>
      <c r="J36" s="66" t="str">
        <f t="shared" si="1"/>
        <v/>
      </c>
      <c r="K36" s="40"/>
    </row>
    <row r="37" spans="2:11" x14ac:dyDescent="0.25">
      <c r="B37" s="67" t="str">
        <f t="shared" si="0"/>
        <v/>
      </c>
      <c r="C37" s="37"/>
      <c r="D37" s="28"/>
      <c r="E37" s="38"/>
      <c r="F37" s="28"/>
      <c r="G37" s="38"/>
      <c r="H37" s="29"/>
      <c r="I37" s="29"/>
      <c r="J37" s="69" t="str">
        <f t="shared" si="1"/>
        <v/>
      </c>
      <c r="K37" s="40"/>
    </row>
    <row r="38" spans="2:11" x14ac:dyDescent="0.25">
      <c r="B38" s="64" t="str">
        <f t="shared" si="0"/>
        <v/>
      </c>
      <c r="C38" s="37"/>
      <c r="D38" s="28"/>
      <c r="E38" s="38"/>
      <c r="F38" s="28"/>
      <c r="G38" s="38"/>
      <c r="H38" s="29"/>
      <c r="I38" s="29"/>
      <c r="J38" s="66" t="str">
        <f t="shared" si="1"/>
        <v/>
      </c>
      <c r="K38" s="40"/>
    </row>
    <row r="39" spans="2:11" x14ac:dyDescent="0.25">
      <c r="B39" s="67" t="str">
        <f t="shared" si="0"/>
        <v/>
      </c>
      <c r="C39" s="37"/>
      <c r="D39" s="28"/>
      <c r="E39" s="38"/>
      <c r="F39" s="28"/>
      <c r="G39" s="38"/>
      <c r="H39" s="29"/>
      <c r="I39" s="29"/>
      <c r="J39" s="69" t="str">
        <f t="shared" si="1"/>
        <v/>
      </c>
      <c r="K39" s="40"/>
    </row>
    <row r="40" spans="2:11" x14ac:dyDescent="0.25">
      <c r="B40" s="64" t="str">
        <f t="shared" si="0"/>
        <v/>
      </c>
      <c r="C40" s="37"/>
      <c r="D40" s="28"/>
      <c r="E40" s="38"/>
      <c r="F40" s="28"/>
      <c r="G40" s="38"/>
      <c r="H40" s="29"/>
      <c r="I40" s="29"/>
      <c r="J40" s="66" t="str">
        <f t="shared" si="1"/>
        <v/>
      </c>
      <c r="K40" s="40"/>
    </row>
    <row r="41" spans="2:11" x14ac:dyDescent="0.25">
      <c r="B41" s="67" t="str">
        <f t="shared" ref="B41:B72" si="2">IF(OR($C41="",N($E41)=0),"","T-"&amp;TEXT($C41,"yymmdd")&amp;"-"&amp;TEXT(ROUND(N($E41),0),"0"))</f>
        <v/>
      </c>
      <c r="C41" s="37"/>
      <c r="D41" s="28"/>
      <c r="E41" s="38"/>
      <c r="F41" s="28"/>
      <c r="G41" s="38"/>
      <c r="H41" s="29"/>
      <c r="I41" s="29"/>
      <c r="J41" s="69" t="str">
        <f t="shared" ref="J41:J72" si="3">IF($B41="","",IF(OR($H41="",$I41=""),"UNMATCHED - review",IF(ABS(N($E41)-N($G41))&lt;0.005,"Matched","AMOUNT MISMATCH")))</f>
        <v/>
      </c>
      <c r="K41" s="40"/>
    </row>
    <row r="42" spans="2:11" x14ac:dyDescent="0.25">
      <c r="B42" s="64" t="str">
        <f t="shared" si="2"/>
        <v/>
      </c>
      <c r="C42" s="37"/>
      <c r="D42" s="28"/>
      <c r="E42" s="38"/>
      <c r="F42" s="28"/>
      <c r="G42" s="38"/>
      <c r="H42" s="29"/>
      <c r="I42" s="29"/>
      <c r="J42" s="66" t="str">
        <f t="shared" si="3"/>
        <v/>
      </c>
      <c r="K42" s="40"/>
    </row>
    <row r="43" spans="2:11" x14ac:dyDescent="0.25">
      <c r="B43" s="67" t="str">
        <f t="shared" si="2"/>
        <v/>
      </c>
      <c r="C43" s="37"/>
      <c r="D43" s="28"/>
      <c r="E43" s="38"/>
      <c r="F43" s="28"/>
      <c r="G43" s="38"/>
      <c r="H43" s="29"/>
      <c r="I43" s="29"/>
      <c r="J43" s="69" t="str">
        <f t="shared" si="3"/>
        <v/>
      </c>
      <c r="K43" s="40"/>
    </row>
    <row r="44" spans="2:11" x14ac:dyDescent="0.25">
      <c r="B44" s="64" t="str">
        <f t="shared" si="2"/>
        <v/>
      </c>
      <c r="C44" s="37"/>
      <c r="D44" s="28"/>
      <c r="E44" s="38"/>
      <c r="F44" s="28"/>
      <c r="G44" s="38"/>
      <c r="H44" s="29"/>
      <c r="I44" s="29"/>
      <c r="J44" s="66" t="str">
        <f t="shared" si="3"/>
        <v/>
      </c>
      <c r="K44" s="40"/>
    </row>
    <row r="45" spans="2:11" x14ac:dyDescent="0.25">
      <c r="B45" s="67" t="str">
        <f t="shared" si="2"/>
        <v/>
      </c>
      <c r="C45" s="37"/>
      <c r="D45" s="28"/>
      <c r="E45" s="38"/>
      <c r="F45" s="28"/>
      <c r="G45" s="38"/>
      <c r="H45" s="29"/>
      <c r="I45" s="29"/>
      <c r="J45" s="69" t="str">
        <f t="shared" si="3"/>
        <v/>
      </c>
      <c r="K45" s="40"/>
    </row>
    <row r="46" spans="2:11" x14ac:dyDescent="0.25">
      <c r="B46" s="64" t="str">
        <f t="shared" si="2"/>
        <v/>
      </c>
      <c r="C46" s="37"/>
      <c r="D46" s="28"/>
      <c r="E46" s="38"/>
      <c r="F46" s="28"/>
      <c r="G46" s="38"/>
      <c r="H46" s="29"/>
      <c r="I46" s="29"/>
      <c r="J46" s="66" t="str">
        <f t="shared" si="3"/>
        <v/>
      </c>
      <c r="K46" s="40"/>
    </row>
    <row r="47" spans="2:11" x14ac:dyDescent="0.25">
      <c r="B47" s="67" t="str">
        <f t="shared" si="2"/>
        <v/>
      </c>
      <c r="C47" s="37"/>
      <c r="D47" s="28"/>
      <c r="E47" s="38"/>
      <c r="F47" s="28"/>
      <c r="G47" s="38"/>
      <c r="H47" s="29"/>
      <c r="I47" s="29"/>
      <c r="J47" s="69" t="str">
        <f t="shared" si="3"/>
        <v/>
      </c>
      <c r="K47" s="40"/>
    </row>
    <row r="48" spans="2:11" x14ac:dyDescent="0.25">
      <c r="B48" s="64" t="str">
        <f t="shared" si="2"/>
        <v/>
      </c>
      <c r="C48" s="37"/>
      <c r="D48" s="28"/>
      <c r="E48" s="38"/>
      <c r="F48" s="28"/>
      <c r="G48" s="38"/>
      <c r="H48" s="29"/>
      <c r="I48" s="29"/>
      <c r="J48" s="66" t="str">
        <f t="shared" si="3"/>
        <v/>
      </c>
      <c r="K48" s="40"/>
    </row>
    <row r="49" spans="2:11" x14ac:dyDescent="0.25">
      <c r="B49" s="67" t="str">
        <f t="shared" si="2"/>
        <v/>
      </c>
      <c r="C49" s="37"/>
      <c r="D49" s="28"/>
      <c r="E49" s="38"/>
      <c r="F49" s="28"/>
      <c r="G49" s="38"/>
      <c r="H49" s="29"/>
      <c r="I49" s="29"/>
      <c r="J49" s="69" t="str">
        <f t="shared" si="3"/>
        <v/>
      </c>
      <c r="K49" s="40"/>
    </row>
    <row r="50" spans="2:11" x14ac:dyDescent="0.25">
      <c r="B50" s="64" t="str">
        <f t="shared" si="2"/>
        <v/>
      </c>
      <c r="C50" s="37"/>
      <c r="D50" s="28"/>
      <c r="E50" s="38"/>
      <c r="F50" s="28"/>
      <c r="G50" s="38"/>
      <c r="H50" s="29"/>
      <c r="I50" s="29"/>
      <c r="J50" s="66" t="str">
        <f t="shared" si="3"/>
        <v/>
      </c>
      <c r="K50" s="40"/>
    </row>
    <row r="51" spans="2:11" x14ac:dyDescent="0.25">
      <c r="B51" s="67" t="str">
        <f t="shared" si="2"/>
        <v/>
      </c>
      <c r="C51" s="37"/>
      <c r="D51" s="28"/>
      <c r="E51" s="38"/>
      <c r="F51" s="28"/>
      <c r="G51" s="38"/>
      <c r="H51" s="29"/>
      <c r="I51" s="29"/>
      <c r="J51" s="69" t="str">
        <f t="shared" si="3"/>
        <v/>
      </c>
      <c r="K51" s="40"/>
    </row>
    <row r="52" spans="2:11" x14ac:dyDescent="0.25">
      <c r="B52" s="64" t="str">
        <f t="shared" si="2"/>
        <v/>
      </c>
      <c r="C52" s="37"/>
      <c r="D52" s="28"/>
      <c r="E52" s="38"/>
      <c r="F52" s="28"/>
      <c r="G52" s="38"/>
      <c r="H52" s="29"/>
      <c r="I52" s="29"/>
      <c r="J52" s="66" t="str">
        <f t="shared" si="3"/>
        <v/>
      </c>
      <c r="K52" s="40"/>
    </row>
    <row r="53" spans="2:11" x14ac:dyDescent="0.25">
      <c r="B53" s="67" t="str">
        <f t="shared" si="2"/>
        <v/>
      </c>
      <c r="C53" s="37"/>
      <c r="D53" s="28"/>
      <c r="E53" s="38"/>
      <c r="F53" s="28"/>
      <c r="G53" s="38"/>
      <c r="H53" s="29"/>
      <c r="I53" s="29"/>
      <c r="J53" s="69" t="str">
        <f t="shared" si="3"/>
        <v/>
      </c>
      <c r="K53" s="40"/>
    </row>
    <row r="54" spans="2:11" x14ac:dyDescent="0.25">
      <c r="B54" s="64" t="str">
        <f t="shared" si="2"/>
        <v/>
      </c>
      <c r="C54" s="37"/>
      <c r="D54" s="28"/>
      <c r="E54" s="38"/>
      <c r="F54" s="28"/>
      <c r="G54" s="38"/>
      <c r="H54" s="29"/>
      <c r="I54" s="29"/>
      <c r="J54" s="66" t="str">
        <f t="shared" si="3"/>
        <v/>
      </c>
      <c r="K54" s="40"/>
    </row>
    <row r="55" spans="2:11" x14ac:dyDescent="0.25">
      <c r="B55" s="67" t="str">
        <f t="shared" si="2"/>
        <v/>
      </c>
      <c r="C55" s="37"/>
      <c r="D55" s="28"/>
      <c r="E55" s="38"/>
      <c r="F55" s="28"/>
      <c r="G55" s="38"/>
      <c r="H55" s="29"/>
      <c r="I55" s="29"/>
      <c r="J55" s="69" t="str">
        <f t="shared" si="3"/>
        <v/>
      </c>
      <c r="K55" s="40"/>
    </row>
    <row r="56" spans="2:11" x14ac:dyDescent="0.25">
      <c r="B56" s="64" t="str">
        <f t="shared" si="2"/>
        <v/>
      </c>
      <c r="C56" s="37"/>
      <c r="D56" s="28"/>
      <c r="E56" s="38"/>
      <c r="F56" s="28"/>
      <c r="G56" s="38"/>
      <c r="H56" s="29"/>
      <c r="I56" s="29"/>
      <c r="J56" s="66" t="str">
        <f t="shared" si="3"/>
        <v/>
      </c>
      <c r="K56" s="40"/>
    </row>
    <row r="57" spans="2:11" x14ac:dyDescent="0.25">
      <c r="B57" s="67" t="str">
        <f t="shared" si="2"/>
        <v/>
      </c>
      <c r="C57" s="37"/>
      <c r="D57" s="28"/>
      <c r="E57" s="38"/>
      <c r="F57" s="28"/>
      <c r="G57" s="38"/>
      <c r="H57" s="29"/>
      <c r="I57" s="29"/>
      <c r="J57" s="69" t="str">
        <f t="shared" si="3"/>
        <v/>
      </c>
      <c r="K57" s="40"/>
    </row>
    <row r="58" spans="2:11" x14ac:dyDescent="0.25">
      <c r="B58" s="64" t="str">
        <f t="shared" si="2"/>
        <v/>
      </c>
      <c r="C58" s="37"/>
      <c r="D58" s="28"/>
      <c r="E58" s="38"/>
      <c r="F58" s="28"/>
      <c r="G58" s="38"/>
      <c r="H58" s="29"/>
      <c r="I58" s="29"/>
      <c r="J58" s="66" t="str">
        <f t="shared" si="3"/>
        <v/>
      </c>
      <c r="K58" s="40"/>
    </row>
    <row r="59" spans="2:11" x14ac:dyDescent="0.25">
      <c r="B59" s="67" t="str">
        <f t="shared" si="2"/>
        <v/>
      </c>
      <c r="C59" s="37"/>
      <c r="D59" s="28"/>
      <c r="E59" s="38"/>
      <c r="F59" s="28"/>
      <c r="G59" s="38"/>
      <c r="H59" s="29"/>
      <c r="I59" s="29"/>
      <c r="J59" s="69" t="str">
        <f t="shared" si="3"/>
        <v/>
      </c>
      <c r="K59" s="40"/>
    </row>
    <row r="60" spans="2:11" x14ac:dyDescent="0.25">
      <c r="B60" s="64" t="str">
        <f t="shared" si="2"/>
        <v/>
      </c>
      <c r="C60" s="37"/>
      <c r="D60" s="28"/>
      <c r="E60" s="38"/>
      <c r="F60" s="28"/>
      <c r="G60" s="38"/>
      <c r="H60" s="29"/>
      <c r="I60" s="29"/>
      <c r="J60" s="66" t="str">
        <f t="shared" si="3"/>
        <v/>
      </c>
      <c r="K60" s="40"/>
    </row>
    <row r="61" spans="2:11" x14ac:dyDescent="0.25">
      <c r="B61" s="67" t="str">
        <f t="shared" si="2"/>
        <v/>
      </c>
      <c r="C61" s="37"/>
      <c r="D61" s="28"/>
      <c r="E61" s="38"/>
      <c r="F61" s="28"/>
      <c r="G61" s="38"/>
      <c r="H61" s="29"/>
      <c r="I61" s="29"/>
      <c r="J61" s="69" t="str">
        <f t="shared" si="3"/>
        <v/>
      </c>
      <c r="K61" s="40"/>
    </row>
    <row r="62" spans="2:11" x14ac:dyDescent="0.25">
      <c r="B62" s="64" t="str">
        <f t="shared" si="2"/>
        <v/>
      </c>
      <c r="C62" s="37"/>
      <c r="D62" s="28"/>
      <c r="E62" s="38"/>
      <c r="F62" s="28"/>
      <c r="G62" s="38"/>
      <c r="H62" s="29"/>
      <c r="I62" s="29"/>
      <c r="J62" s="66" t="str">
        <f t="shared" si="3"/>
        <v/>
      </c>
      <c r="K62" s="40"/>
    </row>
    <row r="63" spans="2:11" x14ac:dyDescent="0.25">
      <c r="B63" s="67" t="str">
        <f t="shared" si="2"/>
        <v/>
      </c>
      <c r="C63" s="37"/>
      <c r="D63" s="28"/>
      <c r="E63" s="38"/>
      <c r="F63" s="28"/>
      <c r="G63" s="38"/>
      <c r="H63" s="29"/>
      <c r="I63" s="29"/>
      <c r="J63" s="69" t="str">
        <f t="shared" si="3"/>
        <v/>
      </c>
      <c r="K63" s="40"/>
    </row>
    <row r="64" spans="2:11" x14ac:dyDescent="0.25">
      <c r="B64" s="64" t="str">
        <f t="shared" si="2"/>
        <v/>
      </c>
      <c r="C64" s="37"/>
      <c r="D64" s="28"/>
      <c r="E64" s="38"/>
      <c r="F64" s="28"/>
      <c r="G64" s="38"/>
      <c r="H64" s="29"/>
      <c r="I64" s="29"/>
      <c r="J64" s="66" t="str">
        <f t="shared" si="3"/>
        <v/>
      </c>
      <c r="K64" s="40"/>
    </row>
    <row r="65" spans="2:11" x14ac:dyDescent="0.25">
      <c r="B65" s="67" t="str">
        <f t="shared" si="2"/>
        <v/>
      </c>
      <c r="C65" s="37"/>
      <c r="D65" s="28"/>
      <c r="E65" s="38"/>
      <c r="F65" s="28"/>
      <c r="G65" s="38"/>
      <c r="H65" s="29"/>
      <c r="I65" s="29"/>
      <c r="J65" s="69" t="str">
        <f t="shared" si="3"/>
        <v/>
      </c>
      <c r="K65" s="40"/>
    </row>
    <row r="66" spans="2:11" x14ac:dyDescent="0.25">
      <c r="B66" s="64" t="str">
        <f t="shared" si="2"/>
        <v/>
      </c>
      <c r="C66" s="37"/>
      <c r="D66" s="28"/>
      <c r="E66" s="38"/>
      <c r="F66" s="28"/>
      <c r="G66" s="38"/>
      <c r="H66" s="29"/>
      <c r="I66" s="29"/>
      <c r="J66" s="66" t="str">
        <f t="shared" si="3"/>
        <v/>
      </c>
      <c r="K66" s="40"/>
    </row>
    <row r="67" spans="2:11" x14ac:dyDescent="0.25">
      <c r="B67" s="67" t="str">
        <f t="shared" si="2"/>
        <v/>
      </c>
      <c r="C67" s="37"/>
      <c r="D67" s="28"/>
      <c r="E67" s="38"/>
      <c r="F67" s="28"/>
      <c r="G67" s="38"/>
      <c r="H67" s="29"/>
      <c r="I67" s="29"/>
      <c r="J67" s="69" t="str">
        <f t="shared" si="3"/>
        <v/>
      </c>
      <c r="K67" s="40"/>
    </row>
    <row r="68" spans="2:11" x14ac:dyDescent="0.25">
      <c r="B68" s="64" t="str">
        <f t="shared" si="2"/>
        <v/>
      </c>
      <c r="C68" s="37"/>
      <c r="D68" s="28"/>
      <c r="E68" s="38"/>
      <c r="F68" s="28"/>
      <c r="G68" s="38"/>
      <c r="H68" s="29"/>
      <c r="I68" s="29"/>
      <c r="J68" s="66" t="str">
        <f t="shared" si="3"/>
        <v/>
      </c>
      <c r="K68" s="40"/>
    </row>
    <row r="69" spans="2:11" x14ac:dyDescent="0.25">
      <c r="B69" s="67" t="str">
        <f t="shared" si="2"/>
        <v/>
      </c>
      <c r="C69" s="37"/>
      <c r="D69" s="28"/>
      <c r="E69" s="38"/>
      <c r="F69" s="28"/>
      <c r="G69" s="38"/>
      <c r="H69" s="29"/>
      <c r="I69" s="29"/>
      <c r="J69" s="69" t="str">
        <f t="shared" si="3"/>
        <v/>
      </c>
      <c r="K69" s="40"/>
    </row>
    <row r="70" spans="2:11" x14ac:dyDescent="0.25">
      <c r="B70" s="64" t="str">
        <f t="shared" si="2"/>
        <v/>
      </c>
      <c r="C70" s="37"/>
      <c r="D70" s="28"/>
      <c r="E70" s="38"/>
      <c r="F70" s="28"/>
      <c r="G70" s="38"/>
      <c r="H70" s="29"/>
      <c r="I70" s="29"/>
      <c r="J70" s="66" t="str">
        <f t="shared" si="3"/>
        <v/>
      </c>
      <c r="K70" s="40"/>
    </row>
    <row r="71" spans="2:11" x14ac:dyDescent="0.25">
      <c r="B71" s="67" t="str">
        <f t="shared" si="2"/>
        <v/>
      </c>
      <c r="C71" s="37"/>
      <c r="D71" s="28"/>
      <c r="E71" s="38"/>
      <c r="F71" s="28"/>
      <c r="G71" s="38"/>
      <c r="H71" s="29"/>
      <c r="I71" s="29"/>
      <c r="J71" s="69" t="str">
        <f t="shared" si="3"/>
        <v/>
      </c>
      <c r="K71" s="40"/>
    </row>
    <row r="72" spans="2:11" x14ac:dyDescent="0.25">
      <c r="B72" s="64" t="str">
        <f t="shared" si="2"/>
        <v/>
      </c>
      <c r="C72" s="37"/>
      <c r="D72" s="28"/>
      <c r="E72" s="38"/>
      <c r="F72" s="28"/>
      <c r="G72" s="38"/>
      <c r="H72" s="29"/>
      <c r="I72" s="29"/>
      <c r="J72" s="66" t="str">
        <f t="shared" si="3"/>
        <v/>
      </c>
      <c r="K72" s="40"/>
    </row>
    <row r="73" spans="2:11" x14ac:dyDescent="0.25">
      <c r="B73" s="67" t="str">
        <f t="shared" ref="B73:B108" si="4">IF(OR($C73="",N($E73)=0),"","T-"&amp;TEXT($C73,"yymmdd")&amp;"-"&amp;TEXT(ROUND(N($E73),0),"0"))</f>
        <v/>
      </c>
      <c r="C73" s="37"/>
      <c r="D73" s="28"/>
      <c r="E73" s="38"/>
      <c r="F73" s="28"/>
      <c r="G73" s="38"/>
      <c r="H73" s="29"/>
      <c r="I73" s="29"/>
      <c r="J73" s="69" t="str">
        <f t="shared" ref="J73:J108" si="5">IF($B73="","",IF(OR($H73="",$I73=""),"UNMATCHED - review",IF(ABS(N($E73)-N($G73))&lt;0.005,"Matched","AMOUNT MISMATCH")))</f>
        <v/>
      </c>
      <c r="K73" s="40"/>
    </row>
    <row r="74" spans="2:11" x14ac:dyDescent="0.25">
      <c r="B74" s="64" t="str">
        <f t="shared" si="4"/>
        <v/>
      </c>
      <c r="C74" s="37"/>
      <c r="D74" s="28"/>
      <c r="E74" s="38"/>
      <c r="F74" s="28"/>
      <c r="G74" s="38"/>
      <c r="H74" s="29"/>
      <c r="I74" s="29"/>
      <c r="J74" s="66" t="str">
        <f t="shared" si="5"/>
        <v/>
      </c>
      <c r="K74" s="40"/>
    </row>
    <row r="75" spans="2:11" x14ac:dyDescent="0.25">
      <c r="B75" s="67" t="str">
        <f t="shared" si="4"/>
        <v/>
      </c>
      <c r="C75" s="37"/>
      <c r="D75" s="28"/>
      <c r="E75" s="38"/>
      <c r="F75" s="28"/>
      <c r="G75" s="38"/>
      <c r="H75" s="29"/>
      <c r="I75" s="29"/>
      <c r="J75" s="69" t="str">
        <f t="shared" si="5"/>
        <v/>
      </c>
      <c r="K75" s="40"/>
    </row>
    <row r="76" spans="2:11" x14ac:dyDescent="0.25">
      <c r="B76" s="64" t="str">
        <f t="shared" si="4"/>
        <v/>
      </c>
      <c r="C76" s="37"/>
      <c r="D76" s="28"/>
      <c r="E76" s="38"/>
      <c r="F76" s="28"/>
      <c r="G76" s="38"/>
      <c r="H76" s="29"/>
      <c r="I76" s="29"/>
      <c r="J76" s="66" t="str">
        <f t="shared" si="5"/>
        <v/>
      </c>
      <c r="K76" s="40"/>
    </row>
    <row r="77" spans="2:11" x14ac:dyDescent="0.25">
      <c r="B77" s="67" t="str">
        <f t="shared" si="4"/>
        <v/>
      </c>
      <c r="C77" s="37"/>
      <c r="D77" s="28"/>
      <c r="E77" s="38"/>
      <c r="F77" s="28"/>
      <c r="G77" s="38"/>
      <c r="H77" s="29"/>
      <c r="I77" s="29"/>
      <c r="J77" s="69" t="str">
        <f t="shared" si="5"/>
        <v/>
      </c>
      <c r="K77" s="40"/>
    </row>
    <row r="78" spans="2:11" x14ac:dyDescent="0.25">
      <c r="B78" s="64" t="str">
        <f t="shared" si="4"/>
        <v/>
      </c>
      <c r="C78" s="37"/>
      <c r="D78" s="28"/>
      <c r="E78" s="38"/>
      <c r="F78" s="28"/>
      <c r="G78" s="38"/>
      <c r="H78" s="29"/>
      <c r="I78" s="29"/>
      <c r="J78" s="66" t="str">
        <f t="shared" si="5"/>
        <v/>
      </c>
      <c r="K78" s="40"/>
    </row>
    <row r="79" spans="2:11" x14ac:dyDescent="0.25">
      <c r="B79" s="67" t="str">
        <f t="shared" si="4"/>
        <v/>
      </c>
      <c r="C79" s="37"/>
      <c r="D79" s="28"/>
      <c r="E79" s="38"/>
      <c r="F79" s="28"/>
      <c r="G79" s="38"/>
      <c r="H79" s="29"/>
      <c r="I79" s="29"/>
      <c r="J79" s="69" t="str">
        <f t="shared" si="5"/>
        <v/>
      </c>
      <c r="K79" s="40"/>
    </row>
    <row r="80" spans="2:11" x14ac:dyDescent="0.25">
      <c r="B80" s="64" t="str">
        <f t="shared" si="4"/>
        <v/>
      </c>
      <c r="C80" s="37"/>
      <c r="D80" s="28"/>
      <c r="E80" s="38"/>
      <c r="F80" s="28"/>
      <c r="G80" s="38"/>
      <c r="H80" s="29"/>
      <c r="I80" s="29"/>
      <c r="J80" s="66" t="str">
        <f t="shared" si="5"/>
        <v/>
      </c>
      <c r="K80" s="40"/>
    </row>
    <row r="81" spans="2:11" x14ac:dyDescent="0.25">
      <c r="B81" s="67" t="str">
        <f t="shared" si="4"/>
        <v/>
      </c>
      <c r="C81" s="37"/>
      <c r="D81" s="28"/>
      <c r="E81" s="38"/>
      <c r="F81" s="28"/>
      <c r="G81" s="38"/>
      <c r="H81" s="29"/>
      <c r="I81" s="29"/>
      <c r="J81" s="69" t="str">
        <f t="shared" si="5"/>
        <v/>
      </c>
      <c r="K81" s="40"/>
    </row>
    <row r="82" spans="2:11" x14ac:dyDescent="0.25">
      <c r="B82" s="64" t="str">
        <f t="shared" si="4"/>
        <v/>
      </c>
      <c r="C82" s="37"/>
      <c r="D82" s="28"/>
      <c r="E82" s="38"/>
      <c r="F82" s="28"/>
      <c r="G82" s="38"/>
      <c r="H82" s="29"/>
      <c r="I82" s="29"/>
      <c r="J82" s="66" t="str">
        <f t="shared" si="5"/>
        <v/>
      </c>
      <c r="K82" s="40"/>
    </row>
    <row r="83" spans="2:11" x14ac:dyDescent="0.25">
      <c r="B83" s="67" t="str">
        <f t="shared" si="4"/>
        <v/>
      </c>
      <c r="C83" s="37"/>
      <c r="D83" s="28"/>
      <c r="E83" s="38"/>
      <c r="F83" s="28"/>
      <c r="G83" s="38"/>
      <c r="H83" s="29"/>
      <c r="I83" s="29"/>
      <c r="J83" s="69" t="str">
        <f t="shared" si="5"/>
        <v/>
      </c>
      <c r="K83" s="40"/>
    </row>
    <row r="84" spans="2:11" x14ac:dyDescent="0.25">
      <c r="B84" s="64" t="str">
        <f t="shared" si="4"/>
        <v/>
      </c>
      <c r="C84" s="37"/>
      <c r="D84" s="28"/>
      <c r="E84" s="38"/>
      <c r="F84" s="28"/>
      <c r="G84" s="38"/>
      <c r="H84" s="29"/>
      <c r="I84" s="29"/>
      <c r="J84" s="66" t="str">
        <f t="shared" si="5"/>
        <v/>
      </c>
      <c r="K84" s="40"/>
    </row>
    <row r="85" spans="2:11" x14ac:dyDescent="0.25">
      <c r="B85" s="67" t="str">
        <f t="shared" si="4"/>
        <v/>
      </c>
      <c r="C85" s="37"/>
      <c r="D85" s="28"/>
      <c r="E85" s="38"/>
      <c r="F85" s="28"/>
      <c r="G85" s="38"/>
      <c r="H85" s="29"/>
      <c r="I85" s="29"/>
      <c r="J85" s="69" t="str">
        <f t="shared" si="5"/>
        <v/>
      </c>
      <c r="K85" s="40"/>
    </row>
    <row r="86" spans="2:11" x14ac:dyDescent="0.25">
      <c r="B86" s="64" t="str">
        <f t="shared" si="4"/>
        <v/>
      </c>
      <c r="C86" s="37"/>
      <c r="D86" s="28"/>
      <c r="E86" s="38"/>
      <c r="F86" s="28"/>
      <c r="G86" s="38"/>
      <c r="H86" s="29"/>
      <c r="I86" s="29"/>
      <c r="J86" s="66" t="str">
        <f t="shared" si="5"/>
        <v/>
      </c>
      <c r="K86" s="40"/>
    </row>
    <row r="87" spans="2:11" x14ac:dyDescent="0.25">
      <c r="B87" s="67" t="str">
        <f t="shared" si="4"/>
        <v/>
      </c>
      <c r="C87" s="37"/>
      <c r="D87" s="28"/>
      <c r="E87" s="38"/>
      <c r="F87" s="28"/>
      <c r="G87" s="38"/>
      <c r="H87" s="29"/>
      <c r="I87" s="29"/>
      <c r="J87" s="69" t="str">
        <f t="shared" si="5"/>
        <v/>
      </c>
      <c r="K87" s="40"/>
    </row>
    <row r="88" spans="2:11" x14ac:dyDescent="0.25">
      <c r="B88" s="64" t="str">
        <f t="shared" si="4"/>
        <v/>
      </c>
      <c r="C88" s="37"/>
      <c r="D88" s="28"/>
      <c r="E88" s="38"/>
      <c r="F88" s="28"/>
      <c r="G88" s="38"/>
      <c r="H88" s="29"/>
      <c r="I88" s="29"/>
      <c r="J88" s="66" t="str">
        <f t="shared" si="5"/>
        <v/>
      </c>
      <c r="K88" s="40"/>
    </row>
    <row r="89" spans="2:11" x14ac:dyDescent="0.25">
      <c r="B89" s="67" t="str">
        <f t="shared" si="4"/>
        <v/>
      </c>
      <c r="C89" s="37"/>
      <c r="D89" s="28"/>
      <c r="E89" s="38"/>
      <c r="F89" s="28"/>
      <c r="G89" s="38"/>
      <c r="H89" s="29"/>
      <c r="I89" s="29"/>
      <c r="J89" s="69" t="str">
        <f t="shared" si="5"/>
        <v/>
      </c>
      <c r="K89" s="40"/>
    </row>
    <row r="90" spans="2:11" x14ac:dyDescent="0.25">
      <c r="B90" s="64" t="str">
        <f t="shared" si="4"/>
        <v/>
      </c>
      <c r="C90" s="37"/>
      <c r="D90" s="28"/>
      <c r="E90" s="38"/>
      <c r="F90" s="28"/>
      <c r="G90" s="38"/>
      <c r="H90" s="29"/>
      <c r="I90" s="29"/>
      <c r="J90" s="66" t="str">
        <f t="shared" si="5"/>
        <v/>
      </c>
      <c r="K90" s="40"/>
    </row>
    <row r="91" spans="2:11" x14ac:dyDescent="0.25">
      <c r="B91" s="67" t="str">
        <f t="shared" si="4"/>
        <v/>
      </c>
      <c r="C91" s="37"/>
      <c r="D91" s="28"/>
      <c r="E91" s="38"/>
      <c r="F91" s="28"/>
      <c r="G91" s="38"/>
      <c r="H91" s="29"/>
      <c r="I91" s="29"/>
      <c r="J91" s="69" t="str">
        <f t="shared" si="5"/>
        <v/>
      </c>
      <c r="K91" s="40"/>
    </row>
    <row r="92" spans="2:11" x14ac:dyDescent="0.25">
      <c r="B92" s="64" t="str">
        <f t="shared" si="4"/>
        <v/>
      </c>
      <c r="C92" s="37"/>
      <c r="D92" s="28"/>
      <c r="E92" s="38"/>
      <c r="F92" s="28"/>
      <c r="G92" s="38"/>
      <c r="H92" s="29"/>
      <c r="I92" s="29"/>
      <c r="J92" s="66" t="str">
        <f t="shared" si="5"/>
        <v/>
      </c>
      <c r="K92" s="40"/>
    </row>
    <row r="93" spans="2:11" x14ac:dyDescent="0.25">
      <c r="B93" s="67" t="str">
        <f t="shared" si="4"/>
        <v/>
      </c>
      <c r="C93" s="37"/>
      <c r="D93" s="28"/>
      <c r="E93" s="38"/>
      <c r="F93" s="28"/>
      <c r="G93" s="38"/>
      <c r="H93" s="29"/>
      <c r="I93" s="29"/>
      <c r="J93" s="69" t="str">
        <f t="shared" si="5"/>
        <v/>
      </c>
      <c r="K93" s="40"/>
    </row>
    <row r="94" spans="2:11" x14ac:dyDescent="0.25">
      <c r="B94" s="64" t="str">
        <f t="shared" si="4"/>
        <v/>
      </c>
      <c r="C94" s="37"/>
      <c r="D94" s="28"/>
      <c r="E94" s="38"/>
      <c r="F94" s="28"/>
      <c r="G94" s="38"/>
      <c r="H94" s="29"/>
      <c r="I94" s="29"/>
      <c r="J94" s="66" t="str">
        <f t="shared" si="5"/>
        <v/>
      </c>
      <c r="K94" s="40"/>
    </row>
    <row r="95" spans="2:11" x14ac:dyDescent="0.25">
      <c r="B95" s="67" t="str">
        <f t="shared" si="4"/>
        <v/>
      </c>
      <c r="C95" s="37"/>
      <c r="D95" s="28"/>
      <c r="E95" s="38"/>
      <c r="F95" s="28"/>
      <c r="G95" s="38"/>
      <c r="H95" s="29"/>
      <c r="I95" s="29"/>
      <c r="J95" s="69" t="str">
        <f t="shared" si="5"/>
        <v/>
      </c>
      <c r="K95" s="40"/>
    </row>
    <row r="96" spans="2:11" x14ac:dyDescent="0.25">
      <c r="B96" s="64" t="str">
        <f t="shared" si="4"/>
        <v/>
      </c>
      <c r="C96" s="37"/>
      <c r="D96" s="28"/>
      <c r="E96" s="38"/>
      <c r="F96" s="28"/>
      <c r="G96" s="38"/>
      <c r="H96" s="29"/>
      <c r="I96" s="29"/>
      <c r="J96" s="66" t="str">
        <f t="shared" si="5"/>
        <v/>
      </c>
      <c r="K96" s="40"/>
    </row>
    <row r="97" spans="1:11" x14ac:dyDescent="0.25">
      <c r="B97" s="67" t="str">
        <f t="shared" si="4"/>
        <v/>
      </c>
      <c r="C97" s="37"/>
      <c r="D97" s="28"/>
      <c r="E97" s="38"/>
      <c r="F97" s="28"/>
      <c r="G97" s="38"/>
      <c r="H97" s="29"/>
      <c r="I97" s="29"/>
      <c r="J97" s="69" t="str">
        <f t="shared" si="5"/>
        <v/>
      </c>
      <c r="K97" s="40"/>
    </row>
    <row r="98" spans="1:11" x14ac:dyDescent="0.25">
      <c r="B98" s="64" t="str">
        <f t="shared" si="4"/>
        <v/>
      </c>
      <c r="C98" s="37"/>
      <c r="D98" s="28"/>
      <c r="E98" s="38"/>
      <c r="F98" s="28"/>
      <c r="G98" s="38"/>
      <c r="H98" s="29"/>
      <c r="I98" s="29"/>
      <c r="J98" s="66" t="str">
        <f t="shared" si="5"/>
        <v/>
      </c>
      <c r="K98" s="40"/>
    </row>
    <row r="99" spans="1:11" x14ac:dyDescent="0.25">
      <c r="B99" s="67" t="str">
        <f t="shared" si="4"/>
        <v/>
      </c>
      <c r="C99" s="37"/>
      <c r="D99" s="28"/>
      <c r="E99" s="38"/>
      <c r="F99" s="28"/>
      <c r="G99" s="38"/>
      <c r="H99" s="29"/>
      <c r="I99" s="29"/>
      <c r="J99" s="69" t="str">
        <f t="shared" si="5"/>
        <v/>
      </c>
      <c r="K99" s="40"/>
    </row>
    <row r="100" spans="1:11" x14ac:dyDescent="0.25">
      <c r="B100" s="64" t="str">
        <f t="shared" si="4"/>
        <v/>
      </c>
      <c r="C100" s="37"/>
      <c r="D100" s="28"/>
      <c r="E100" s="38"/>
      <c r="F100" s="28"/>
      <c r="G100" s="38"/>
      <c r="H100" s="29"/>
      <c r="I100" s="29"/>
      <c r="J100" s="66" t="str">
        <f t="shared" si="5"/>
        <v/>
      </c>
      <c r="K100" s="40"/>
    </row>
    <row r="101" spans="1:11" x14ac:dyDescent="0.25">
      <c r="B101" s="67" t="str">
        <f t="shared" si="4"/>
        <v/>
      </c>
      <c r="C101" s="37"/>
      <c r="D101" s="28"/>
      <c r="E101" s="38"/>
      <c r="F101" s="28"/>
      <c r="G101" s="38"/>
      <c r="H101" s="29"/>
      <c r="I101" s="29"/>
      <c r="J101" s="69" t="str">
        <f t="shared" si="5"/>
        <v/>
      </c>
      <c r="K101" s="40"/>
    </row>
    <row r="102" spans="1:11" x14ac:dyDescent="0.25">
      <c r="B102" s="64" t="str">
        <f t="shared" si="4"/>
        <v/>
      </c>
      <c r="C102" s="37"/>
      <c r="D102" s="28"/>
      <c r="E102" s="38"/>
      <c r="F102" s="28"/>
      <c r="G102" s="38"/>
      <c r="H102" s="29"/>
      <c r="I102" s="29"/>
      <c r="J102" s="66" t="str">
        <f t="shared" si="5"/>
        <v/>
      </c>
      <c r="K102" s="40"/>
    </row>
    <row r="103" spans="1:11" x14ac:dyDescent="0.25">
      <c r="B103" s="67" t="str">
        <f t="shared" si="4"/>
        <v/>
      </c>
      <c r="C103" s="37"/>
      <c r="D103" s="28"/>
      <c r="E103" s="38"/>
      <c r="F103" s="28"/>
      <c r="G103" s="38"/>
      <c r="H103" s="29"/>
      <c r="I103" s="29"/>
      <c r="J103" s="69" t="str">
        <f t="shared" si="5"/>
        <v/>
      </c>
      <c r="K103" s="40"/>
    </row>
    <row r="104" spans="1:11" x14ac:dyDescent="0.25">
      <c r="B104" s="64" t="str">
        <f t="shared" si="4"/>
        <v/>
      </c>
      <c r="C104" s="37"/>
      <c r="D104" s="28"/>
      <c r="E104" s="38"/>
      <c r="F104" s="28"/>
      <c r="G104" s="38"/>
      <c r="H104" s="29"/>
      <c r="I104" s="29"/>
      <c r="J104" s="66" t="str">
        <f t="shared" si="5"/>
        <v/>
      </c>
      <c r="K104" s="40"/>
    </row>
    <row r="105" spans="1:11" x14ac:dyDescent="0.25">
      <c r="B105" s="67" t="str">
        <f t="shared" si="4"/>
        <v/>
      </c>
      <c r="C105" s="37"/>
      <c r="D105" s="28"/>
      <c r="E105" s="38"/>
      <c r="F105" s="28"/>
      <c r="G105" s="38"/>
      <c r="H105" s="29"/>
      <c r="I105" s="29"/>
      <c r="J105" s="69" t="str">
        <f t="shared" si="5"/>
        <v/>
      </c>
      <c r="K105" s="40"/>
    </row>
    <row r="106" spans="1:11" x14ac:dyDescent="0.25">
      <c r="B106" s="64" t="str">
        <f t="shared" si="4"/>
        <v/>
      </c>
      <c r="C106" s="37"/>
      <c r="D106" s="28"/>
      <c r="E106" s="38"/>
      <c r="F106" s="28"/>
      <c r="G106" s="38"/>
      <c r="H106" s="29"/>
      <c r="I106" s="29"/>
      <c r="J106" s="66" t="str">
        <f t="shared" si="5"/>
        <v/>
      </c>
      <c r="K106" s="40"/>
    </row>
    <row r="107" spans="1:11" x14ac:dyDescent="0.25">
      <c r="B107" s="67" t="str">
        <f t="shared" si="4"/>
        <v/>
      </c>
      <c r="C107" s="37"/>
      <c r="D107" s="28"/>
      <c r="E107" s="38"/>
      <c r="F107" s="28"/>
      <c r="G107" s="38"/>
      <c r="H107" s="29"/>
      <c r="I107" s="29"/>
      <c r="J107" s="69" t="str">
        <f t="shared" si="5"/>
        <v/>
      </c>
      <c r="K107" s="40"/>
    </row>
    <row r="108" spans="1:11" x14ac:dyDescent="0.25">
      <c r="B108" s="64" t="str">
        <f t="shared" si="4"/>
        <v/>
      </c>
      <c r="C108" s="37"/>
      <c r="D108" s="28"/>
      <c r="E108" s="38"/>
      <c r="F108" s="28"/>
      <c r="G108" s="38"/>
      <c r="H108" s="29"/>
      <c r="I108" s="29"/>
      <c r="J108" s="66" t="str">
        <f t="shared" si="5"/>
        <v/>
      </c>
      <c r="K108" s="40"/>
    </row>
    <row r="109" spans="1:11" ht="17.100000000000001" customHeight="1" x14ac:dyDescent="0.25">
      <c r="A109" s="197" t="s">
        <v>243</v>
      </c>
      <c r="B109" s="173"/>
      <c r="C109" s="173"/>
      <c r="D109" s="173"/>
      <c r="E109" s="173"/>
      <c r="F109" s="173"/>
      <c r="G109" s="173"/>
      <c r="H109" s="173"/>
      <c r="I109" s="173"/>
      <c r="J109" s="173"/>
      <c r="K109" s="173"/>
    </row>
    <row r="110" spans="1:11" x14ac:dyDescent="0.25">
      <c r="A110" s="190" t="s">
        <v>112</v>
      </c>
      <c r="B110" s="191"/>
      <c r="C110" s="30">
        <f>SUMPRODUCT(--('8. Transfers'!$C$9:$C$108&lt;&gt;""))</f>
        <v>0</v>
      </c>
    </row>
    <row r="111" spans="1:11" x14ac:dyDescent="0.25">
      <c r="A111" s="190" t="s">
        <v>113</v>
      </c>
      <c r="B111" s="191"/>
      <c r="C111" s="30">
        <v>100</v>
      </c>
    </row>
    <row r="112" spans="1:11" x14ac:dyDescent="0.25">
      <c r="A112" s="190" t="s">
        <v>114</v>
      </c>
      <c r="B112" s="191"/>
      <c r="C112" s="30">
        <f>MAX(0,100-$C$110)</f>
        <v>100</v>
      </c>
    </row>
    <row r="113" spans="1:11" x14ac:dyDescent="0.25">
      <c r="A113" s="194" t="s">
        <v>115</v>
      </c>
      <c r="B113" s="191"/>
      <c r="C113" s="31" t="str">
        <f>IF($C$112&lt;=0,"FULL - no more rows can be entered",IF($C$112&lt;=10,"NEARLY FULL - contact Powell United","OK"))</f>
        <v>OK</v>
      </c>
      <c r="D113" s="193" t="s">
        <v>244</v>
      </c>
      <c r="E113" s="173"/>
      <c r="F113" s="173"/>
      <c r="G113" s="173"/>
      <c r="H113" s="173"/>
      <c r="I113" s="173"/>
      <c r="J113" s="173"/>
      <c r="K113" s="173"/>
    </row>
    <row r="114" spans="1:11" ht="8.1" customHeight="1" x14ac:dyDescent="0.25"/>
    <row r="115" spans="1:11" ht="8.1" customHeight="1" x14ac:dyDescent="0.25"/>
    <row r="116" spans="1:11" x14ac:dyDescent="0.25">
      <c r="C116" s="216" t="s">
        <v>245</v>
      </c>
      <c r="D116" s="191"/>
      <c r="E116" s="72">
        <f>COUNTIF($J$9:$J$108,"UNMATCHED - review")</f>
        <v>0</v>
      </c>
    </row>
    <row r="117" spans="1:11" ht="8.1" customHeight="1" x14ac:dyDescent="0.25"/>
    <row r="118" spans="1:11" ht="15.6" customHeight="1" x14ac:dyDescent="0.25">
      <c r="A118" s="187" t="s">
        <v>69</v>
      </c>
      <c r="B118" s="173"/>
      <c r="C118" s="173"/>
      <c r="D118" s="173"/>
      <c r="E118" s="173"/>
      <c r="F118" s="173"/>
      <c r="G118" s="173"/>
      <c r="H118" s="173"/>
      <c r="I118" s="173"/>
      <c r="J118" s="173"/>
      <c r="K118" s="173"/>
    </row>
  </sheetData>
  <sheetProtection sheet="1" formatCells="0" formatColumns="0" formatRows="0" insertRows="0" deleteRows="0"/>
  <mergeCells count="13">
    <mergeCell ref="A118:K118"/>
    <mergeCell ref="A3:K3"/>
    <mergeCell ref="A112:B112"/>
    <mergeCell ref="A109:K109"/>
    <mergeCell ref="A113:B113"/>
    <mergeCell ref="A1:K1"/>
    <mergeCell ref="A2:K2"/>
    <mergeCell ref="D113:K113"/>
    <mergeCell ref="A111:B111"/>
    <mergeCell ref="C116:D116"/>
    <mergeCell ref="A5:K5"/>
    <mergeCell ref="A110:B110"/>
    <mergeCell ref="A6:K6"/>
  </mergeCells>
  <conditionalFormatting sqref="C113">
    <cfRule type="cellIs" dxfId="41" priority="4" operator="equal">
      <formula>"FULL - no more rows can be entered"</formula>
    </cfRule>
    <cfRule type="cellIs" dxfId="40" priority="5" operator="equal">
      <formula>"NEARLY FULL - contact Powell United"</formula>
    </cfRule>
    <cfRule type="cellIs" dxfId="39" priority="6" operator="equal">
      <formula>"OK"</formula>
    </cfRule>
  </conditionalFormatting>
  <conditionalFormatting sqref="J9:J108">
    <cfRule type="cellIs" dxfId="38" priority="1" operator="equal">
      <formula>"Matched"</formula>
    </cfRule>
    <cfRule type="cellIs" dxfId="37" priority="2" operator="equal">
      <formula>"UNMATCHED - review"</formula>
    </cfRule>
    <cfRule type="cellIs" dxfId="36" priority="3" operator="equal">
      <formula>"AMOUNT MISMATCH"</formula>
    </cfRule>
  </conditionalFormatting>
  <dataValidations count="5">
    <dataValidation type="list" allowBlank="1" sqref="D9:D108 F9:F108" xr:uid="{00000000-0002-0000-0700-000000000000}">
      <formula1>Acct_Name</formula1>
    </dataValidation>
    <dataValidation type="list" allowBlank="1" showInputMessage="1" promptTitle="Which row left the account?" prompt="Pick the ledger row for the money going OUT. Typing an ID still works." sqref="H9:H108" xr:uid="{00000000-0002-0000-0700-000002000000}">
      <formula1>Txn_Pick</formula1>
    </dataValidation>
    <dataValidation type="list" allowBlank="1" showInputMessage="1" promptTitle="Which row arrived?" prompt="Pick the ledger row for the money coming IN. Typing an ID still works." sqref="I9:I108" xr:uid="{00000000-0002-0000-0700-000003000000}">
      <formula1>Txn_Pick</formula1>
    </dataValidation>
    <dataValidation type="decimal" operator="greaterThanOrEqual" allowBlank="1" showErrorMessage="1" errorTitle="Amount must be zero or positive" error="Enter a positive number. Money In and Money Out are separate columns, so amounts are never negative." sqref="E9:E108 G9:G108" xr:uid="{00000000-0002-0000-0700-000004000000}">
      <formula1>0</formula1>
    </dataValidation>
    <dataValidation type="date" allowBlank="1" showErrorMessage="1" errorTitle="Enter a real date" error="Use a date, for example 03/14/2026." sqref="C9:C108" xr:uid="{00000000-0002-0000-0700-000006000000}">
      <formula1>DATE(2000,1,1)</formula1>
      <formula2>DATE(2100,12,31)</formula2>
    </dataValidation>
  </dataValidation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00B0F0"/>
  </sheetPr>
  <dimension ref="A1:I265"/>
  <sheetViews>
    <sheetView showGridLines="0" workbookViewId="0">
      <pane ySplit="7" topLeftCell="A8" activePane="bottomLeft" state="frozen"/>
      <selection pane="bottomLeft"/>
    </sheetView>
  </sheetViews>
  <sheetFormatPr defaultRowHeight="15" x14ac:dyDescent="0.25"/>
  <cols>
    <col min="1" max="1" width="3" customWidth="1"/>
    <col min="2" max="2" width="13" customWidth="1"/>
    <col min="3" max="3" width="11" customWidth="1"/>
    <col min="4" max="4" width="40" customWidth="1"/>
    <col min="5" max="5" width="14" customWidth="1"/>
    <col min="6" max="7" width="13" customWidth="1"/>
    <col min="8" max="8" width="14" customWidth="1"/>
    <col min="9" max="9" width="46" customWidth="1"/>
  </cols>
  <sheetData>
    <row r="1" spans="1:9" ht="27.95" customHeight="1" x14ac:dyDescent="0.25">
      <c r="A1" s="174" t="s">
        <v>246</v>
      </c>
      <c r="B1" s="173"/>
      <c r="C1" s="173"/>
      <c r="D1" s="173"/>
      <c r="E1" s="173"/>
      <c r="F1" s="173"/>
      <c r="G1" s="173"/>
      <c r="H1" s="173"/>
      <c r="I1" s="173"/>
    </row>
    <row r="2" spans="1:9" ht="17.100000000000001" customHeight="1" x14ac:dyDescent="0.25">
      <c r="A2" s="188" t="s">
        <v>247</v>
      </c>
      <c r="B2" s="173"/>
      <c r="C2" s="173"/>
      <c r="D2" s="173"/>
      <c r="E2" s="173"/>
      <c r="F2" s="173"/>
      <c r="G2" s="173"/>
      <c r="H2" s="173"/>
      <c r="I2" s="173"/>
    </row>
    <row r="3" spans="1:9" ht="14.1" customHeight="1" x14ac:dyDescent="0.25">
      <c r="A3" s="179" t="s">
        <v>2</v>
      </c>
      <c r="B3" s="173"/>
      <c r="C3" s="173"/>
      <c r="D3" s="173"/>
      <c r="E3" s="173"/>
      <c r="F3" s="173"/>
      <c r="G3" s="173"/>
      <c r="H3" s="173"/>
      <c r="I3" s="173"/>
    </row>
    <row r="4" spans="1:9" ht="47.1" customHeight="1" x14ac:dyDescent="0.25">
      <c r="A4" s="221" t="s">
        <v>248</v>
      </c>
      <c r="B4" s="173"/>
      <c r="C4" s="173"/>
      <c r="D4" s="173"/>
      <c r="E4" s="173"/>
      <c r="F4" s="173"/>
      <c r="G4" s="173"/>
      <c r="H4" s="173"/>
      <c r="I4" s="173"/>
    </row>
    <row r="5" spans="1:9" ht="73.349999999999994" customHeight="1" x14ac:dyDescent="0.25">
      <c r="A5" s="192" t="s">
        <v>249</v>
      </c>
      <c r="B5" s="173"/>
      <c r="C5" s="173"/>
      <c r="D5" s="173"/>
      <c r="E5" s="173"/>
      <c r="F5" s="173"/>
      <c r="G5" s="173"/>
      <c r="H5" s="173"/>
      <c r="I5" s="173"/>
    </row>
    <row r="6" spans="1:9" ht="29.1" customHeight="1" x14ac:dyDescent="0.25">
      <c r="A6" s="196" t="s">
        <v>250</v>
      </c>
      <c r="B6" s="173"/>
      <c r="C6" s="173"/>
      <c r="D6" s="173"/>
      <c r="E6" s="173"/>
      <c r="F6" s="173"/>
      <c r="G6" s="173"/>
      <c r="H6" s="173"/>
      <c r="I6" s="173"/>
    </row>
    <row r="7" spans="1:9" ht="33.950000000000003" customHeight="1" x14ac:dyDescent="0.25">
      <c r="A7" s="27"/>
      <c r="B7" s="27" t="s">
        <v>251</v>
      </c>
      <c r="C7" s="27" t="s">
        <v>252</v>
      </c>
      <c r="D7" s="27" t="s">
        <v>253</v>
      </c>
      <c r="E7" s="27" t="s">
        <v>254</v>
      </c>
      <c r="F7" s="27" t="s">
        <v>255</v>
      </c>
      <c r="G7" s="27" t="s">
        <v>256</v>
      </c>
      <c r="H7" s="27" t="s">
        <v>222</v>
      </c>
      <c r="I7" s="27" t="s">
        <v>204</v>
      </c>
    </row>
    <row r="8" spans="1:9" x14ac:dyDescent="0.25">
      <c r="B8" s="64" t="str">
        <f t="shared" ref="B8:B39" si="0">IF($C8="","","PR-"&amp;TEXT($C8,"yyyy-mm-dd"))</f>
        <v/>
      </c>
      <c r="C8" s="37"/>
      <c r="D8" s="28"/>
      <c r="E8" s="38"/>
      <c r="F8" s="41" t="str">
        <f t="shared" ref="F8:F39" si="1">IF($D8="","",IFERROR(INDEX(Pay_Cash,MATCH($D8,Pay_Comp,0)),"UNKNOWN"))</f>
        <v/>
      </c>
      <c r="G8" s="41" t="str">
        <f t="shared" ref="G8:G39" si="2">IF($D8="","",IFERROR(INDEX(Pay_Exp,MATCH($D8,Pay_Comp,0)),"UNKNOWN"))</f>
        <v/>
      </c>
      <c r="H8" s="29"/>
      <c r="I8" s="40"/>
    </row>
    <row r="9" spans="1:9" x14ac:dyDescent="0.25">
      <c r="B9" s="67" t="str">
        <f t="shared" si="0"/>
        <v/>
      </c>
      <c r="C9" s="37"/>
      <c r="D9" s="28"/>
      <c r="E9" s="38"/>
      <c r="F9" s="45" t="str">
        <f t="shared" si="1"/>
        <v/>
      </c>
      <c r="G9" s="45" t="str">
        <f t="shared" si="2"/>
        <v/>
      </c>
      <c r="H9" s="29"/>
      <c r="I9" s="40"/>
    </row>
    <row r="10" spans="1:9" x14ac:dyDescent="0.25">
      <c r="B10" s="64" t="str">
        <f t="shared" si="0"/>
        <v/>
      </c>
      <c r="C10" s="37"/>
      <c r="D10" s="28"/>
      <c r="E10" s="38"/>
      <c r="F10" s="41" t="str">
        <f t="shared" si="1"/>
        <v/>
      </c>
      <c r="G10" s="41" t="str">
        <f t="shared" si="2"/>
        <v/>
      </c>
      <c r="H10" s="29"/>
      <c r="I10" s="40"/>
    </row>
    <row r="11" spans="1:9" x14ac:dyDescent="0.25">
      <c r="B11" s="67" t="str">
        <f t="shared" si="0"/>
        <v/>
      </c>
      <c r="C11" s="37"/>
      <c r="D11" s="28"/>
      <c r="E11" s="38"/>
      <c r="F11" s="45" t="str">
        <f t="shared" si="1"/>
        <v/>
      </c>
      <c r="G11" s="45" t="str">
        <f t="shared" si="2"/>
        <v/>
      </c>
      <c r="H11" s="29"/>
      <c r="I11" s="40"/>
    </row>
    <row r="12" spans="1:9" x14ac:dyDescent="0.25">
      <c r="B12" s="64" t="str">
        <f t="shared" si="0"/>
        <v/>
      </c>
      <c r="C12" s="37"/>
      <c r="D12" s="28"/>
      <c r="E12" s="38"/>
      <c r="F12" s="41" t="str">
        <f t="shared" si="1"/>
        <v/>
      </c>
      <c r="G12" s="41" t="str">
        <f t="shared" si="2"/>
        <v/>
      </c>
      <c r="H12" s="29"/>
      <c r="I12" s="40"/>
    </row>
    <row r="13" spans="1:9" x14ac:dyDescent="0.25">
      <c r="B13" s="67" t="str">
        <f t="shared" si="0"/>
        <v/>
      </c>
      <c r="C13" s="37"/>
      <c r="D13" s="28"/>
      <c r="E13" s="38"/>
      <c r="F13" s="45" t="str">
        <f t="shared" si="1"/>
        <v/>
      </c>
      <c r="G13" s="45" t="str">
        <f t="shared" si="2"/>
        <v/>
      </c>
      <c r="H13" s="29"/>
      <c r="I13" s="40"/>
    </row>
    <row r="14" spans="1:9" x14ac:dyDescent="0.25">
      <c r="B14" s="64" t="str">
        <f t="shared" si="0"/>
        <v/>
      </c>
      <c r="C14" s="37"/>
      <c r="D14" s="28"/>
      <c r="E14" s="38"/>
      <c r="F14" s="41" t="str">
        <f t="shared" si="1"/>
        <v/>
      </c>
      <c r="G14" s="41" t="str">
        <f t="shared" si="2"/>
        <v/>
      </c>
      <c r="H14" s="29"/>
      <c r="I14" s="40"/>
    </row>
    <row r="15" spans="1:9" x14ac:dyDescent="0.25">
      <c r="B15" s="67" t="str">
        <f t="shared" si="0"/>
        <v/>
      </c>
      <c r="C15" s="37"/>
      <c r="D15" s="28"/>
      <c r="E15" s="38"/>
      <c r="F15" s="45" t="str">
        <f t="shared" si="1"/>
        <v/>
      </c>
      <c r="G15" s="45" t="str">
        <f t="shared" si="2"/>
        <v/>
      </c>
      <c r="H15" s="29"/>
      <c r="I15" s="40"/>
    </row>
    <row r="16" spans="1:9" x14ac:dyDescent="0.25">
      <c r="B16" s="64" t="str">
        <f t="shared" si="0"/>
        <v/>
      </c>
      <c r="C16" s="37"/>
      <c r="D16" s="28"/>
      <c r="E16" s="38"/>
      <c r="F16" s="41" t="str">
        <f t="shared" si="1"/>
        <v/>
      </c>
      <c r="G16" s="41" t="str">
        <f t="shared" si="2"/>
        <v/>
      </c>
      <c r="H16" s="29"/>
      <c r="I16" s="40"/>
    </row>
    <row r="17" spans="2:9" x14ac:dyDescent="0.25">
      <c r="B17" s="67" t="str">
        <f t="shared" si="0"/>
        <v/>
      </c>
      <c r="C17" s="37"/>
      <c r="D17" s="28"/>
      <c r="E17" s="38"/>
      <c r="F17" s="45" t="str">
        <f t="shared" si="1"/>
        <v/>
      </c>
      <c r="G17" s="45" t="str">
        <f t="shared" si="2"/>
        <v/>
      </c>
      <c r="H17" s="29"/>
      <c r="I17" s="40"/>
    </row>
    <row r="18" spans="2:9" x14ac:dyDescent="0.25">
      <c r="B18" s="64" t="str">
        <f t="shared" si="0"/>
        <v/>
      </c>
      <c r="C18" s="37"/>
      <c r="D18" s="28"/>
      <c r="E18" s="38"/>
      <c r="F18" s="41" t="str">
        <f t="shared" si="1"/>
        <v/>
      </c>
      <c r="G18" s="41" t="str">
        <f t="shared" si="2"/>
        <v/>
      </c>
      <c r="H18" s="29"/>
      <c r="I18" s="40"/>
    </row>
    <row r="19" spans="2:9" x14ac:dyDescent="0.25">
      <c r="B19" s="67" t="str">
        <f t="shared" si="0"/>
        <v/>
      </c>
      <c r="C19" s="37"/>
      <c r="D19" s="28"/>
      <c r="E19" s="38"/>
      <c r="F19" s="45" t="str">
        <f t="shared" si="1"/>
        <v/>
      </c>
      <c r="G19" s="45" t="str">
        <f t="shared" si="2"/>
        <v/>
      </c>
      <c r="H19" s="29"/>
      <c r="I19" s="40"/>
    </row>
    <row r="20" spans="2:9" x14ac:dyDescent="0.25">
      <c r="B20" s="64" t="str">
        <f t="shared" si="0"/>
        <v/>
      </c>
      <c r="C20" s="37"/>
      <c r="D20" s="28"/>
      <c r="E20" s="38"/>
      <c r="F20" s="41" t="str">
        <f t="shared" si="1"/>
        <v/>
      </c>
      <c r="G20" s="41" t="str">
        <f t="shared" si="2"/>
        <v/>
      </c>
      <c r="H20" s="29"/>
      <c r="I20" s="40"/>
    </row>
    <row r="21" spans="2:9" x14ac:dyDescent="0.25">
      <c r="B21" s="67" t="str">
        <f t="shared" si="0"/>
        <v/>
      </c>
      <c r="C21" s="37"/>
      <c r="D21" s="28"/>
      <c r="E21" s="38"/>
      <c r="F21" s="45" t="str">
        <f t="shared" si="1"/>
        <v/>
      </c>
      <c r="G21" s="45" t="str">
        <f t="shared" si="2"/>
        <v/>
      </c>
      <c r="H21" s="29"/>
      <c r="I21" s="40"/>
    </row>
    <row r="22" spans="2:9" x14ac:dyDescent="0.25">
      <c r="B22" s="64" t="str">
        <f t="shared" si="0"/>
        <v/>
      </c>
      <c r="C22" s="37"/>
      <c r="D22" s="28"/>
      <c r="E22" s="38"/>
      <c r="F22" s="41" t="str">
        <f t="shared" si="1"/>
        <v/>
      </c>
      <c r="G22" s="41" t="str">
        <f t="shared" si="2"/>
        <v/>
      </c>
      <c r="H22" s="29"/>
      <c r="I22" s="40"/>
    </row>
    <row r="23" spans="2:9" x14ac:dyDescent="0.25">
      <c r="B23" s="67" t="str">
        <f t="shared" si="0"/>
        <v/>
      </c>
      <c r="C23" s="37"/>
      <c r="D23" s="28"/>
      <c r="E23" s="38"/>
      <c r="F23" s="45" t="str">
        <f t="shared" si="1"/>
        <v/>
      </c>
      <c r="G23" s="45" t="str">
        <f t="shared" si="2"/>
        <v/>
      </c>
      <c r="H23" s="29"/>
      <c r="I23" s="40"/>
    </row>
    <row r="24" spans="2:9" x14ac:dyDescent="0.25">
      <c r="B24" s="64" t="str">
        <f t="shared" si="0"/>
        <v/>
      </c>
      <c r="C24" s="37"/>
      <c r="D24" s="28"/>
      <c r="E24" s="38"/>
      <c r="F24" s="41" t="str">
        <f t="shared" si="1"/>
        <v/>
      </c>
      <c r="G24" s="41" t="str">
        <f t="shared" si="2"/>
        <v/>
      </c>
      <c r="H24" s="29"/>
      <c r="I24" s="40"/>
    </row>
    <row r="25" spans="2:9" x14ac:dyDescent="0.25">
      <c r="B25" s="67" t="str">
        <f t="shared" si="0"/>
        <v/>
      </c>
      <c r="C25" s="37"/>
      <c r="D25" s="28"/>
      <c r="E25" s="38"/>
      <c r="F25" s="45" t="str">
        <f t="shared" si="1"/>
        <v/>
      </c>
      <c r="G25" s="45" t="str">
        <f t="shared" si="2"/>
        <v/>
      </c>
      <c r="H25" s="29"/>
      <c r="I25" s="40"/>
    </row>
    <row r="26" spans="2:9" x14ac:dyDescent="0.25">
      <c r="B26" s="64" t="str">
        <f t="shared" si="0"/>
        <v/>
      </c>
      <c r="C26" s="37"/>
      <c r="D26" s="28"/>
      <c r="E26" s="38"/>
      <c r="F26" s="41" t="str">
        <f t="shared" si="1"/>
        <v/>
      </c>
      <c r="G26" s="41" t="str">
        <f t="shared" si="2"/>
        <v/>
      </c>
      <c r="H26" s="29"/>
      <c r="I26" s="40"/>
    </row>
    <row r="27" spans="2:9" x14ac:dyDescent="0.25">
      <c r="B27" s="67" t="str">
        <f t="shared" si="0"/>
        <v/>
      </c>
      <c r="C27" s="37"/>
      <c r="D27" s="28"/>
      <c r="E27" s="38"/>
      <c r="F27" s="45" t="str">
        <f t="shared" si="1"/>
        <v/>
      </c>
      <c r="G27" s="45" t="str">
        <f t="shared" si="2"/>
        <v/>
      </c>
      <c r="H27" s="29"/>
      <c r="I27" s="40"/>
    </row>
    <row r="28" spans="2:9" x14ac:dyDescent="0.25">
      <c r="B28" s="64" t="str">
        <f t="shared" si="0"/>
        <v/>
      </c>
      <c r="C28" s="37"/>
      <c r="D28" s="28"/>
      <c r="E28" s="38"/>
      <c r="F28" s="41" t="str">
        <f t="shared" si="1"/>
        <v/>
      </c>
      <c r="G28" s="41" t="str">
        <f t="shared" si="2"/>
        <v/>
      </c>
      <c r="H28" s="29"/>
      <c r="I28" s="40"/>
    </row>
    <row r="29" spans="2:9" x14ac:dyDescent="0.25">
      <c r="B29" s="67" t="str">
        <f t="shared" si="0"/>
        <v/>
      </c>
      <c r="C29" s="37"/>
      <c r="D29" s="28"/>
      <c r="E29" s="38"/>
      <c r="F29" s="45" t="str">
        <f t="shared" si="1"/>
        <v/>
      </c>
      <c r="G29" s="45" t="str">
        <f t="shared" si="2"/>
        <v/>
      </c>
      <c r="H29" s="29"/>
      <c r="I29" s="40"/>
    </row>
    <row r="30" spans="2:9" x14ac:dyDescent="0.25">
      <c r="B30" s="64" t="str">
        <f t="shared" si="0"/>
        <v/>
      </c>
      <c r="C30" s="37"/>
      <c r="D30" s="28"/>
      <c r="E30" s="38"/>
      <c r="F30" s="41" t="str">
        <f t="shared" si="1"/>
        <v/>
      </c>
      <c r="G30" s="41" t="str">
        <f t="shared" si="2"/>
        <v/>
      </c>
      <c r="H30" s="29"/>
      <c r="I30" s="40"/>
    </row>
    <row r="31" spans="2:9" x14ac:dyDescent="0.25">
      <c r="B31" s="67" t="str">
        <f t="shared" si="0"/>
        <v/>
      </c>
      <c r="C31" s="37"/>
      <c r="D31" s="28"/>
      <c r="E31" s="38"/>
      <c r="F31" s="45" t="str">
        <f t="shared" si="1"/>
        <v/>
      </c>
      <c r="G31" s="45" t="str">
        <f t="shared" si="2"/>
        <v/>
      </c>
      <c r="H31" s="29"/>
      <c r="I31" s="40"/>
    </row>
    <row r="32" spans="2:9" x14ac:dyDescent="0.25">
      <c r="B32" s="64" t="str">
        <f t="shared" si="0"/>
        <v/>
      </c>
      <c r="C32" s="37"/>
      <c r="D32" s="28"/>
      <c r="E32" s="38"/>
      <c r="F32" s="41" t="str">
        <f t="shared" si="1"/>
        <v/>
      </c>
      <c r="G32" s="41" t="str">
        <f t="shared" si="2"/>
        <v/>
      </c>
      <c r="H32" s="29"/>
      <c r="I32" s="40"/>
    </row>
    <row r="33" spans="2:9" x14ac:dyDescent="0.25">
      <c r="B33" s="67" t="str">
        <f t="shared" si="0"/>
        <v/>
      </c>
      <c r="C33" s="37"/>
      <c r="D33" s="28"/>
      <c r="E33" s="38"/>
      <c r="F33" s="45" t="str">
        <f t="shared" si="1"/>
        <v/>
      </c>
      <c r="G33" s="45" t="str">
        <f t="shared" si="2"/>
        <v/>
      </c>
      <c r="H33" s="29"/>
      <c r="I33" s="40"/>
    </row>
    <row r="34" spans="2:9" x14ac:dyDescent="0.25">
      <c r="B34" s="64" t="str">
        <f t="shared" si="0"/>
        <v/>
      </c>
      <c r="C34" s="37"/>
      <c r="D34" s="28"/>
      <c r="E34" s="38"/>
      <c r="F34" s="41" t="str">
        <f t="shared" si="1"/>
        <v/>
      </c>
      <c r="G34" s="41" t="str">
        <f t="shared" si="2"/>
        <v/>
      </c>
      <c r="H34" s="29"/>
      <c r="I34" s="40"/>
    </row>
    <row r="35" spans="2:9" x14ac:dyDescent="0.25">
      <c r="B35" s="67" t="str">
        <f t="shared" si="0"/>
        <v/>
      </c>
      <c r="C35" s="37"/>
      <c r="D35" s="28"/>
      <c r="E35" s="38"/>
      <c r="F35" s="45" t="str">
        <f t="shared" si="1"/>
        <v/>
      </c>
      <c r="G35" s="45" t="str">
        <f t="shared" si="2"/>
        <v/>
      </c>
      <c r="H35" s="29"/>
      <c r="I35" s="40"/>
    </row>
    <row r="36" spans="2:9" x14ac:dyDescent="0.25">
      <c r="B36" s="64" t="str">
        <f t="shared" si="0"/>
        <v/>
      </c>
      <c r="C36" s="37"/>
      <c r="D36" s="28"/>
      <c r="E36" s="38"/>
      <c r="F36" s="41" t="str">
        <f t="shared" si="1"/>
        <v/>
      </c>
      <c r="G36" s="41" t="str">
        <f t="shared" si="2"/>
        <v/>
      </c>
      <c r="H36" s="29"/>
      <c r="I36" s="40"/>
    </row>
    <row r="37" spans="2:9" x14ac:dyDescent="0.25">
      <c r="B37" s="67" t="str">
        <f t="shared" si="0"/>
        <v/>
      </c>
      <c r="C37" s="37"/>
      <c r="D37" s="28"/>
      <c r="E37" s="38"/>
      <c r="F37" s="45" t="str">
        <f t="shared" si="1"/>
        <v/>
      </c>
      <c r="G37" s="45" t="str">
        <f t="shared" si="2"/>
        <v/>
      </c>
      <c r="H37" s="29"/>
      <c r="I37" s="40"/>
    </row>
    <row r="38" spans="2:9" x14ac:dyDescent="0.25">
      <c r="B38" s="64" t="str">
        <f t="shared" si="0"/>
        <v/>
      </c>
      <c r="C38" s="37"/>
      <c r="D38" s="28"/>
      <c r="E38" s="38"/>
      <c r="F38" s="41" t="str">
        <f t="shared" si="1"/>
        <v/>
      </c>
      <c r="G38" s="41" t="str">
        <f t="shared" si="2"/>
        <v/>
      </c>
      <c r="H38" s="29"/>
      <c r="I38" s="40"/>
    </row>
    <row r="39" spans="2:9" x14ac:dyDescent="0.25">
      <c r="B39" s="67" t="str">
        <f t="shared" si="0"/>
        <v/>
      </c>
      <c r="C39" s="37"/>
      <c r="D39" s="28"/>
      <c r="E39" s="38"/>
      <c r="F39" s="45" t="str">
        <f t="shared" si="1"/>
        <v/>
      </c>
      <c r="G39" s="45" t="str">
        <f t="shared" si="2"/>
        <v/>
      </c>
      <c r="H39" s="29"/>
      <c r="I39" s="40"/>
    </row>
    <row r="40" spans="2:9" x14ac:dyDescent="0.25">
      <c r="B40" s="64" t="str">
        <f t="shared" ref="B40:B71" si="3">IF($C40="","","PR-"&amp;TEXT($C40,"yyyy-mm-dd"))</f>
        <v/>
      </c>
      <c r="C40" s="37"/>
      <c r="D40" s="28"/>
      <c r="E40" s="38"/>
      <c r="F40" s="41" t="str">
        <f t="shared" ref="F40:F71" si="4">IF($D40="","",IFERROR(INDEX(Pay_Cash,MATCH($D40,Pay_Comp,0)),"UNKNOWN"))</f>
        <v/>
      </c>
      <c r="G40" s="41" t="str">
        <f t="shared" ref="G40:G71" si="5">IF($D40="","",IFERROR(INDEX(Pay_Exp,MATCH($D40,Pay_Comp,0)),"UNKNOWN"))</f>
        <v/>
      </c>
      <c r="H40" s="29"/>
      <c r="I40" s="40"/>
    </row>
    <row r="41" spans="2:9" x14ac:dyDescent="0.25">
      <c r="B41" s="67" t="str">
        <f t="shared" si="3"/>
        <v/>
      </c>
      <c r="C41" s="37"/>
      <c r="D41" s="28"/>
      <c r="E41" s="38"/>
      <c r="F41" s="45" t="str">
        <f t="shared" si="4"/>
        <v/>
      </c>
      <c r="G41" s="45" t="str">
        <f t="shared" si="5"/>
        <v/>
      </c>
      <c r="H41" s="29"/>
      <c r="I41" s="40"/>
    </row>
    <row r="42" spans="2:9" x14ac:dyDescent="0.25">
      <c r="B42" s="64" t="str">
        <f t="shared" si="3"/>
        <v/>
      </c>
      <c r="C42" s="37"/>
      <c r="D42" s="28"/>
      <c r="E42" s="38"/>
      <c r="F42" s="41" t="str">
        <f t="shared" si="4"/>
        <v/>
      </c>
      <c r="G42" s="41" t="str">
        <f t="shared" si="5"/>
        <v/>
      </c>
      <c r="H42" s="29"/>
      <c r="I42" s="40"/>
    </row>
    <row r="43" spans="2:9" x14ac:dyDescent="0.25">
      <c r="B43" s="67" t="str">
        <f t="shared" si="3"/>
        <v/>
      </c>
      <c r="C43" s="37"/>
      <c r="D43" s="28"/>
      <c r="E43" s="38"/>
      <c r="F43" s="45" t="str">
        <f t="shared" si="4"/>
        <v/>
      </c>
      <c r="G43" s="45" t="str">
        <f t="shared" si="5"/>
        <v/>
      </c>
      <c r="H43" s="29"/>
      <c r="I43" s="40"/>
    </row>
    <row r="44" spans="2:9" x14ac:dyDescent="0.25">
      <c r="B44" s="64" t="str">
        <f t="shared" si="3"/>
        <v/>
      </c>
      <c r="C44" s="37"/>
      <c r="D44" s="28"/>
      <c r="E44" s="38"/>
      <c r="F44" s="41" t="str">
        <f t="shared" si="4"/>
        <v/>
      </c>
      <c r="G44" s="41" t="str">
        <f t="shared" si="5"/>
        <v/>
      </c>
      <c r="H44" s="29"/>
      <c r="I44" s="40"/>
    </row>
    <row r="45" spans="2:9" x14ac:dyDescent="0.25">
      <c r="B45" s="67" t="str">
        <f t="shared" si="3"/>
        <v/>
      </c>
      <c r="C45" s="37"/>
      <c r="D45" s="28"/>
      <c r="E45" s="38"/>
      <c r="F45" s="45" t="str">
        <f t="shared" si="4"/>
        <v/>
      </c>
      <c r="G45" s="45" t="str">
        <f t="shared" si="5"/>
        <v/>
      </c>
      <c r="H45" s="29"/>
      <c r="I45" s="40"/>
    </row>
    <row r="46" spans="2:9" x14ac:dyDescent="0.25">
      <c r="B46" s="64" t="str">
        <f t="shared" si="3"/>
        <v/>
      </c>
      <c r="C46" s="37"/>
      <c r="D46" s="28"/>
      <c r="E46" s="38"/>
      <c r="F46" s="41" t="str">
        <f t="shared" si="4"/>
        <v/>
      </c>
      <c r="G46" s="41" t="str">
        <f t="shared" si="5"/>
        <v/>
      </c>
      <c r="H46" s="29"/>
      <c r="I46" s="40"/>
    </row>
    <row r="47" spans="2:9" x14ac:dyDescent="0.25">
      <c r="B47" s="67" t="str">
        <f t="shared" si="3"/>
        <v/>
      </c>
      <c r="C47" s="37"/>
      <c r="D47" s="28"/>
      <c r="E47" s="38"/>
      <c r="F47" s="45" t="str">
        <f t="shared" si="4"/>
        <v/>
      </c>
      <c r="G47" s="45" t="str">
        <f t="shared" si="5"/>
        <v/>
      </c>
      <c r="H47" s="29"/>
      <c r="I47" s="40"/>
    </row>
    <row r="48" spans="2:9" x14ac:dyDescent="0.25">
      <c r="B48" s="64" t="str">
        <f t="shared" si="3"/>
        <v/>
      </c>
      <c r="C48" s="37"/>
      <c r="D48" s="28"/>
      <c r="E48" s="38"/>
      <c r="F48" s="41" t="str">
        <f t="shared" si="4"/>
        <v/>
      </c>
      <c r="G48" s="41" t="str">
        <f t="shared" si="5"/>
        <v/>
      </c>
      <c r="H48" s="29"/>
      <c r="I48" s="40"/>
    </row>
    <row r="49" spans="2:9" x14ac:dyDescent="0.25">
      <c r="B49" s="67" t="str">
        <f t="shared" si="3"/>
        <v/>
      </c>
      <c r="C49" s="37"/>
      <c r="D49" s="28"/>
      <c r="E49" s="38"/>
      <c r="F49" s="45" t="str">
        <f t="shared" si="4"/>
        <v/>
      </c>
      <c r="G49" s="45" t="str">
        <f t="shared" si="5"/>
        <v/>
      </c>
      <c r="H49" s="29"/>
      <c r="I49" s="40"/>
    </row>
    <row r="50" spans="2:9" x14ac:dyDescent="0.25">
      <c r="B50" s="64" t="str">
        <f t="shared" si="3"/>
        <v/>
      </c>
      <c r="C50" s="37"/>
      <c r="D50" s="28"/>
      <c r="E50" s="38"/>
      <c r="F50" s="41" t="str">
        <f t="shared" si="4"/>
        <v/>
      </c>
      <c r="G50" s="41" t="str">
        <f t="shared" si="5"/>
        <v/>
      </c>
      <c r="H50" s="29"/>
      <c r="I50" s="40"/>
    </row>
    <row r="51" spans="2:9" x14ac:dyDescent="0.25">
      <c r="B51" s="67" t="str">
        <f t="shared" si="3"/>
        <v/>
      </c>
      <c r="C51" s="37"/>
      <c r="D51" s="28"/>
      <c r="E51" s="38"/>
      <c r="F51" s="45" t="str">
        <f t="shared" si="4"/>
        <v/>
      </c>
      <c r="G51" s="45" t="str">
        <f t="shared" si="5"/>
        <v/>
      </c>
      <c r="H51" s="29"/>
      <c r="I51" s="40"/>
    </row>
    <row r="52" spans="2:9" x14ac:dyDescent="0.25">
      <c r="B52" s="64" t="str">
        <f t="shared" si="3"/>
        <v/>
      </c>
      <c r="C52" s="37"/>
      <c r="D52" s="28"/>
      <c r="E52" s="38"/>
      <c r="F52" s="41" t="str">
        <f t="shared" si="4"/>
        <v/>
      </c>
      <c r="G52" s="41" t="str">
        <f t="shared" si="5"/>
        <v/>
      </c>
      <c r="H52" s="29"/>
      <c r="I52" s="40"/>
    </row>
    <row r="53" spans="2:9" x14ac:dyDescent="0.25">
      <c r="B53" s="67" t="str">
        <f t="shared" si="3"/>
        <v/>
      </c>
      <c r="C53" s="37"/>
      <c r="D53" s="28"/>
      <c r="E53" s="38"/>
      <c r="F53" s="45" t="str">
        <f t="shared" si="4"/>
        <v/>
      </c>
      <c r="G53" s="45" t="str">
        <f t="shared" si="5"/>
        <v/>
      </c>
      <c r="H53" s="29"/>
      <c r="I53" s="40"/>
    </row>
    <row r="54" spans="2:9" x14ac:dyDescent="0.25">
      <c r="B54" s="64" t="str">
        <f t="shared" si="3"/>
        <v/>
      </c>
      <c r="C54" s="37"/>
      <c r="D54" s="28"/>
      <c r="E54" s="38"/>
      <c r="F54" s="41" t="str">
        <f t="shared" si="4"/>
        <v/>
      </c>
      <c r="G54" s="41" t="str">
        <f t="shared" si="5"/>
        <v/>
      </c>
      <c r="H54" s="29"/>
      <c r="I54" s="40"/>
    </row>
    <row r="55" spans="2:9" x14ac:dyDescent="0.25">
      <c r="B55" s="67" t="str">
        <f t="shared" si="3"/>
        <v/>
      </c>
      <c r="C55" s="37"/>
      <c r="D55" s="28"/>
      <c r="E55" s="38"/>
      <c r="F55" s="45" t="str">
        <f t="shared" si="4"/>
        <v/>
      </c>
      <c r="G55" s="45" t="str">
        <f t="shared" si="5"/>
        <v/>
      </c>
      <c r="H55" s="29"/>
      <c r="I55" s="40"/>
    </row>
    <row r="56" spans="2:9" x14ac:dyDescent="0.25">
      <c r="B56" s="64" t="str">
        <f t="shared" si="3"/>
        <v/>
      </c>
      <c r="C56" s="37"/>
      <c r="D56" s="28"/>
      <c r="E56" s="38"/>
      <c r="F56" s="41" t="str">
        <f t="shared" si="4"/>
        <v/>
      </c>
      <c r="G56" s="41" t="str">
        <f t="shared" si="5"/>
        <v/>
      </c>
      <c r="H56" s="29"/>
      <c r="I56" s="40"/>
    </row>
    <row r="57" spans="2:9" x14ac:dyDescent="0.25">
      <c r="B57" s="67" t="str">
        <f t="shared" si="3"/>
        <v/>
      </c>
      <c r="C57" s="37"/>
      <c r="D57" s="28"/>
      <c r="E57" s="38"/>
      <c r="F57" s="45" t="str">
        <f t="shared" si="4"/>
        <v/>
      </c>
      <c r="G57" s="45" t="str">
        <f t="shared" si="5"/>
        <v/>
      </c>
      <c r="H57" s="29"/>
      <c r="I57" s="40"/>
    </row>
    <row r="58" spans="2:9" x14ac:dyDescent="0.25">
      <c r="B58" s="64" t="str">
        <f t="shared" si="3"/>
        <v/>
      </c>
      <c r="C58" s="37"/>
      <c r="D58" s="28"/>
      <c r="E58" s="38"/>
      <c r="F58" s="41" t="str">
        <f t="shared" si="4"/>
        <v/>
      </c>
      <c r="G58" s="41" t="str">
        <f t="shared" si="5"/>
        <v/>
      </c>
      <c r="H58" s="29"/>
      <c r="I58" s="40"/>
    </row>
    <row r="59" spans="2:9" x14ac:dyDescent="0.25">
      <c r="B59" s="67" t="str">
        <f t="shared" si="3"/>
        <v/>
      </c>
      <c r="C59" s="37"/>
      <c r="D59" s="28"/>
      <c r="E59" s="38"/>
      <c r="F59" s="45" t="str">
        <f t="shared" si="4"/>
        <v/>
      </c>
      <c r="G59" s="45" t="str">
        <f t="shared" si="5"/>
        <v/>
      </c>
      <c r="H59" s="29"/>
      <c r="I59" s="40"/>
    </row>
    <row r="60" spans="2:9" x14ac:dyDescent="0.25">
      <c r="B60" s="64" t="str">
        <f t="shared" si="3"/>
        <v/>
      </c>
      <c r="C60" s="37"/>
      <c r="D60" s="28"/>
      <c r="E60" s="38"/>
      <c r="F60" s="41" t="str">
        <f t="shared" si="4"/>
        <v/>
      </c>
      <c r="G60" s="41" t="str">
        <f t="shared" si="5"/>
        <v/>
      </c>
      <c r="H60" s="29"/>
      <c r="I60" s="40"/>
    </row>
    <row r="61" spans="2:9" x14ac:dyDescent="0.25">
      <c r="B61" s="67" t="str">
        <f t="shared" si="3"/>
        <v/>
      </c>
      <c r="C61" s="37"/>
      <c r="D61" s="28"/>
      <c r="E61" s="38"/>
      <c r="F61" s="45" t="str">
        <f t="shared" si="4"/>
        <v/>
      </c>
      <c r="G61" s="45" t="str">
        <f t="shared" si="5"/>
        <v/>
      </c>
      <c r="H61" s="29"/>
      <c r="I61" s="40"/>
    </row>
    <row r="62" spans="2:9" x14ac:dyDescent="0.25">
      <c r="B62" s="64" t="str">
        <f t="shared" si="3"/>
        <v/>
      </c>
      <c r="C62" s="37"/>
      <c r="D62" s="28"/>
      <c r="E62" s="38"/>
      <c r="F62" s="41" t="str">
        <f t="shared" si="4"/>
        <v/>
      </c>
      <c r="G62" s="41" t="str">
        <f t="shared" si="5"/>
        <v/>
      </c>
      <c r="H62" s="29"/>
      <c r="I62" s="40"/>
    </row>
    <row r="63" spans="2:9" x14ac:dyDescent="0.25">
      <c r="B63" s="67" t="str">
        <f t="shared" si="3"/>
        <v/>
      </c>
      <c r="C63" s="37"/>
      <c r="D63" s="28"/>
      <c r="E63" s="38"/>
      <c r="F63" s="45" t="str">
        <f t="shared" si="4"/>
        <v/>
      </c>
      <c r="G63" s="45" t="str">
        <f t="shared" si="5"/>
        <v/>
      </c>
      <c r="H63" s="29"/>
      <c r="I63" s="40"/>
    </row>
    <row r="64" spans="2:9" x14ac:dyDescent="0.25">
      <c r="B64" s="64" t="str">
        <f t="shared" si="3"/>
        <v/>
      </c>
      <c r="C64" s="37"/>
      <c r="D64" s="28"/>
      <c r="E64" s="38"/>
      <c r="F64" s="41" t="str">
        <f t="shared" si="4"/>
        <v/>
      </c>
      <c r="G64" s="41" t="str">
        <f t="shared" si="5"/>
        <v/>
      </c>
      <c r="H64" s="29"/>
      <c r="I64" s="40"/>
    </row>
    <row r="65" spans="2:9" x14ac:dyDescent="0.25">
      <c r="B65" s="67" t="str">
        <f t="shared" si="3"/>
        <v/>
      </c>
      <c r="C65" s="37"/>
      <c r="D65" s="28"/>
      <c r="E65" s="38"/>
      <c r="F65" s="45" t="str">
        <f t="shared" si="4"/>
        <v/>
      </c>
      <c r="G65" s="45" t="str">
        <f t="shared" si="5"/>
        <v/>
      </c>
      <c r="H65" s="29"/>
      <c r="I65" s="40"/>
    </row>
    <row r="66" spans="2:9" x14ac:dyDescent="0.25">
      <c r="B66" s="64" t="str">
        <f t="shared" si="3"/>
        <v/>
      </c>
      <c r="C66" s="37"/>
      <c r="D66" s="28"/>
      <c r="E66" s="38"/>
      <c r="F66" s="41" t="str">
        <f t="shared" si="4"/>
        <v/>
      </c>
      <c r="G66" s="41" t="str">
        <f t="shared" si="5"/>
        <v/>
      </c>
      <c r="H66" s="29"/>
      <c r="I66" s="40"/>
    </row>
    <row r="67" spans="2:9" x14ac:dyDescent="0.25">
      <c r="B67" s="67" t="str">
        <f t="shared" si="3"/>
        <v/>
      </c>
      <c r="C67" s="37"/>
      <c r="D67" s="28"/>
      <c r="E67" s="38"/>
      <c r="F67" s="45" t="str">
        <f t="shared" si="4"/>
        <v/>
      </c>
      <c r="G67" s="45" t="str">
        <f t="shared" si="5"/>
        <v/>
      </c>
      <c r="H67" s="29"/>
      <c r="I67" s="40"/>
    </row>
    <row r="68" spans="2:9" x14ac:dyDescent="0.25">
      <c r="B68" s="64" t="str">
        <f t="shared" si="3"/>
        <v/>
      </c>
      <c r="C68" s="37"/>
      <c r="D68" s="28"/>
      <c r="E68" s="38"/>
      <c r="F68" s="41" t="str">
        <f t="shared" si="4"/>
        <v/>
      </c>
      <c r="G68" s="41" t="str">
        <f t="shared" si="5"/>
        <v/>
      </c>
      <c r="H68" s="29"/>
      <c r="I68" s="40"/>
    </row>
    <row r="69" spans="2:9" x14ac:dyDescent="0.25">
      <c r="B69" s="67" t="str">
        <f t="shared" si="3"/>
        <v/>
      </c>
      <c r="C69" s="37"/>
      <c r="D69" s="28"/>
      <c r="E69" s="38"/>
      <c r="F69" s="45" t="str">
        <f t="shared" si="4"/>
        <v/>
      </c>
      <c r="G69" s="45" t="str">
        <f t="shared" si="5"/>
        <v/>
      </c>
      <c r="H69" s="29"/>
      <c r="I69" s="40"/>
    </row>
    <row r="70" spans="2:9" x14ac:dyDescent="0.25">
      <c r="B70" s="64" t="str">
        <f t="shared" si="3"/>
        <v/>
      </c>
      <c r="C70" s="37"/>
      <c r="D70" s="28"/>
      <c r="E70" s="38"/>
      <c r="F70" s="41" t="str">
        <f t="shared" si="4"/>
        <v/>
      </c>
      <c r="G70" s="41" t="str">
        <f t="shared" si="5"/>
        <v/>
      </c>
      <c r="H70" s="29"/>
      <c r="I70" s="40"/>
    </row>
    <row r="71" spans="2:9" x14ac:dyDescent="0.25">
      <c r="B71" s="67" t="str">
        <f t="shared" si="3"/>
        <v/>
      </c>
      <c r="C71" s="37"/>
      <c r="D71" s="28"/>
      <c r="E71" s="38"/>
      <c r="F71" s="45" t="str">
        <f t="shared" si="4"/>
        <v/>
      </c>
      <c r="G71" s="45" t="str">
        <f t="shared" si="5"/>
        <v/>
      </c>
      <c r="H71" s="29"/>
      <c r="I71" s="40"/>
    </row>
    <row r="72" spans="2:9" x14ac:dyDescent="0.25">
      <c r="B72" s="64" t="str">
        <f t="shared" ref="B72:B103" si="6">IF($C72="","","PR-"&amp;TEXT($C72,"yyyy-mm-dd"))</f>
        <v/>
      </c>
      <c r="C72" s="37"/>
      <c r="D72" s="28"/>
      <c r="E72" s="38"/>
      <c r="F72" s="41" t="str">
        <f t="shared" ref="F72:F103" si="7">IF($D72="","",IFERROR(INDEX(Pay_Cash,MATCH($D72,Pay_Comp,0)),"UNKNOWN"))</f>
        <v/>
      </c>
      <c r="G72" s="41" t="str">
        <f t="shared" ref="G72:G103" si="8">IF($D72="","",IFERROR(INDEX(Pay_Exp,MATCH($D72,Pay_Comp,0)),"UNKNOWN"))</f>
        <v/>
      </c>
      <c r="H72" s="29"/>
      <c r="I72" s="40"/>
    </row>
    <row r="73" spans="2:9" x14ac:dyDescent="0.25">
      <c r="B73" s="67" t="str">
        <f t="shared" si="6"/>
        <v/>
      </c>
      <c r="C73" s="37"/>
      <c r="D73" s="28"/>
      <c r="E73" s="38"/>
      <c r="F73" s="45" t="str">
        <f t="shared" si="7"/>
        <v/>
      </c>
      <c r="G73" s="45" t="str">
        <f t="shared" si="8"/>
        <v/>
      </c>
      <c r="H73" s="29"/>
      <c r="I73" s="40"/>
    </row>
    <row r="74" spans="2:9" x14ac:dyDescent="0.25">
      <c r="B74" s="64" t="str">
        <f t="shared" si="6"/>
        <v/>
      </c>
      <c r="C74" s="37"/>
      <c r="D74" s="28"/>
      <c r="E74" s="38"/>
      <c r="F74" s="41" t="str">
        <f t="shared" si="7"/>
        <v/>
      </c>
      <c r="G74" s="41" t="str">
        <f t="shared" si="8"/>
        <v/>
      </c>
      <c r="H74" s="29"/>
      <c r="I74" s="40"/>
    </row>
    <row r="75" spans="2:9" x14ac:dyDescent="0.25">
      <c r="B75" s="67" t="str">
        <f t="shared" si="6"/>
        <v/>
      </c>
      <c r="C75" s="37"/>
      <c r="D75" s="28"/>
      <c r="E75" s="38"/>
      <c r="F75" s="45" t="str">
        <f t="shared" si="7"/>
        <v/>
      </c>
      <c r="G75" s="45" t="str">
        <f t="shared" si="8"/>
        <v/>
      </c>
      <c r="H75" s="29"/>
      <c r="I75" s="40"/>
    </row>
    <row r="76" spans="2:9" x14ac:dyDescent="0.25">
      <c r="B76" s="64" t="str">
        <f t="shared" si="6"/>
        <v/>
      </c>
      <c r="C76" s="37"/>
      <c r="D76" s="28"/>
      <c r="E76" s="38"/>
      <c r="F76" s="41" t="str">
        <f t="shared" si="7"/>
        <v/>
      </c>
      <c r="G76" s="41" t="str">
        <f t="shared" si="8"/>
        <v/>
      </c>
      <c r="H76" s="29"/>
      <c r="I76" s="40"/>
    </row>
    <row r="77" spans="2:9" x14ac:dyDescent="0.25">
      <c r="B77" s="67" t="str">
        <f t="shared" si="6"/>
        <v/>
      </c>
      <c r="C77" s="37"/>
      <c r="D77" s="28"/>
      <c r="E77" s="38"/>
      <c r="F77" s="45" t="str">
        <f t="shared" si="7"/>
        <v/>
      </c>
      <c r="G77" s="45" t="str">
        <f t="shared" si="8"/>
        <v/>
      </c>
      <c r="H77" s="29"/>
      <c r="I77" s="40"/>
    </row>
    <row r="78" spans="2:9" x14ac:dyDescent="0.25">
      <c r="B78" s="64" t="str">
        <f t="shared" si="6"/>
        <v/>
      </c>
      <c r="C78" s="37"/>
      <c r="D78" s="28"/>
      <c r="E78" s="38"/>
      <c r="F78" s="41" t="str">
        <f t="shared" si="7"/>
        <v/>
      </c>
      <c r="G78" s="41" t="str">
        <f t="shared" si="8"/>
        <v/>
      </c>
      <c r="H78" s="29"/>
      <c r="I78" s="40"/>
    </row>
    <row r="79" spans="2:9" x14ac:dyDescent="0.25">
      <c r="B79" s="67" t="str">
        <f t="shared" si="6"/>
        <v/>
      </c>
      <c r="C79" s="37"/>
      <c r="D79" s="28"/>
      <c r="E79" s="38"/>
      <c r="F79" s="45" t="str">
        <f t="shared" si="7"/>
        <v/>
      </c>
      <c r="G79" s="45" t="str">
        <f t="shared" si="8"/>
        <v/>
      </c>
      <c r="H79" s="29"/>
      <c r="I79" s="40"/>
    </row>
    <row r="80" spans="2:9" x14ac:dyDescent="0.25">
      <c r="B80" s="64" t="str">
        <f t="shared" si="6"/>
        <v/>
      </c>
      <c r="C80" s="37"/>
      <c r="D80" s="28"/>
      <c r="E80" s="38"/>
      <c r="F80" s="41" t="str">
        <f t="shared" si="7"/>
        <v/>
      </c>
      <c r="G80" s="41" t="str">
        <f t="shared" si="8"/>
        <v/>
      </c>
      <c r="H80" s="29"/>
      <c r="I80" s="40"/>
    </row>
    <row r="81" spans="2:9" x14ac:dyDescent="0.25">
      <c r="B81" s="67" t="str">
        <f t="shared" si="6"/>
        <v/>
      </c>
      <c r="C81" s="37"/>
      <c r="D81" s="28"/>
      <c r="E81" s="38"/>
      <c r="F81" s="45" t="str">
        <f t="shared" si="7"/>
        <v/>
      </c>
      <c r="G81" s="45" t="str">
        <f t="shared" si="8"/>
        <v/>
      </c>
      <c r="H81" s="29"/>
      <c r="I81" s="40"/>
    </row>
    <row r="82" spans="2:9" x14ac:dyDescent="0.25">
      <c r="B82" s="64" t="str">
        <f t="shared" si="6"/>
        <v/>
      </c>
      <c r="C82" s="37"/>
      <c r="D82" s="28"/>
      <c r="E82" s="38"/>
      <c r="F82" s="41" t="str">
        <f t="shared" si="7"/>
        <v/>
      </c>
      <c r="G82" s="41" t="str">
        <f t="shared" si="8"/>
        <v/>
      </c>
      <c r="H82" s="29"/>
      <c r="I82" s="40"/>
    </row>
    <row r="83" spans="2:9" x14ac:dyDescent="0.25">
      <c r="B83" s="67" t="str">
        <f t="shared" si="6"/>
        <v/>
      </c>
      <c r="C83" s="37"/>
      <c r="D83" s="28"/>
      <c r="E83" s="38"/>
      <c r="F83" s="45" t="str">
        <f t="shared" si="7"/>
        <v/>
      </c>
      <c r="G83" s="45" t="str">
        <f t="shared" si="8"/>
        <v/>
      </c>
      <c r="H83" s="29"/>
      <c r="I83" s="40"/>
    </row>
    <row r="84" spans="2:9" x14ac:dyDescent="0.25">
      <c r="B84" s="64" t="str">
        <f t="shared" si="6"/>
        <v/>
      </c>
      <c r="C84" s="37"/>
      <c r="D84" s="28"/>
      <c r="E84" s="38"/>
      <c r="F84" s="41" t="str">
        <f t="shared" si="7"/>
        <v/>
      </c>
      <c r="G84" s="41" t="str">
        <f t="shared" si="8"/>
        <v/>
      </c>
      <c r="H84" s="29"/>
      <c r="I84" s="40"/>
    </row>
    <row r="85" spans="2:9" x14ac:dyDescent="0.25">
      <c r="B85" s="67" t="str">
        <f t="shared" si="6"/>
        <v/>
      </c>
      <c r="C85" s="37"/>
      <c r="D85" s="28"/>
      <c r="E85" s="38"/>
      <c r="F85" s="45" t="str">
        <f t="shared" si="7"/>
        <v/>
      </c>
      <c r="G85" s="45" t="str">
        <f t="shared" si="8"/>
        <v/>
      </c>
      <c r="H85" s="29"/>
      <c r="I85" s="40"/>
    </row>
    <row r="86" spans="2:9" x14ac:dyDescent="0.25">
      <c r="B86" s="64" t="str">
        <f t="shared" si="6"/>
        <v/>
      </c>
      <c r="C86" s="37"/>
      <c r="D86" s="28"/>
      <c r="E86" s="38"/>
      <c r="F86" s="41" t="str">
        <f t="shared" si="7"/>
        <v/>
      </c>
      <c r="G86" s="41" t="str">
        <f t="shared" si="8"/>
        <v/>
      </c>
      <c r="H86" s="29"/>
      <c r="I86" s="40"/>
    </row>
    <row r="87" spans="2:9" x14ac:dyDescent="0.25">
      <c r="B87" s="67" t="str">
        <f t="shared" si="6"/>
        <v/>
      </c>
      <c r="C87" s="37"/>
      <c r="D87" s="28"/>
      <c r="E87" s="38"/>
      <c r="F87" s="45" t="str">
        <f t="shared" si="7"/>
        <v/>
      </c>
      <c r="G87" s="45" t="str">
        <f t="shared" si="8"/>
        <v/>
      </c>
      <c r="H87" s="29"/>
      <c r="I87" s="40"/>
    </row>
    <row r="88" spans="2:9" x14ac:dyDescent="0.25">
      <c r="B88" s="64" t="str">
        <f t="shared" si="6"/>
        <v/>
      </c>
      <c r="C88" s="37"/>
      <c r="D88" s="28"/>
      <c r="E88" s="38"/>
      <c r="F88" s="41" t="str">
        <f t="shared" si="7"/>
        <v/>
      </c>
      <c r="G88" s="41" t="str">
        <f t="shared" si="8"/>
        <v/>
      </c>
      <c r="H88" s="29"/>
      <c r="I88" s="40"/>
    </row>
    <row r="89" spans="2:9" x14ac:dyDescent="0.25">
      <c r="B89" s="67" t="str">
        <f t="shared" si="6"/>
        <v/>
      </c>
      <c r="C89" s="37"/>
      <c r="D89" s="28"/>
      <c r="E89" s="38"/>
      <c r="F89" s="45" t="str">
        <f t="shared" si="7"/>
        <v/>
      </c>
      <c r="G89" s="45" t="str">
        <f t="shared" si="8"/>
        <v/>
      </c>
      <c r="H89" s="29"/>
      <c r="I89" s="40"/>
    </row>
    <row r="90" spans="2:9" x14ac:dyDescent="0.25">
      <c r="B90" s="64" t="str">
        <f t="shared" si="6"/>
        <v/>
      </c>
      <c r="C90" s="37"/>
      <c r="D90" s="28"/>
      <c r="E90" s="38"/>
      <c r="F90" s="41" t="str">
        <f t="shared" si="7"/>
        <v/>
      </c>
      <c r="G90" s="41" t="str">
        <f t="shared" si="8"/>
        <v/>
      </c>
      <c r="H90" s="29"/>
      <c r="I90" s="40"/>
    </row>
    <row r="91" spans="2:9" x14ac:dyDescent="0.25">
      <c r="B91" s="67" t="str">
        <f t="shared" si="6"/>
        <v/>
      </c>
      <c r="C91" s="37"/>
      <c r="D91" s="28"/>
      <c r="E91" s="38"/>
      <c r="F91" s="45" t="str">
        <f t="shared" si="7"/>
        <v/>
      </c>
      <c r="G91" s="45" t="str">
        <f t="shared" si="8"/>
        <v/>
      </c>
      <c r="H91" s="29"/>
      <c r="I91" s="40"/>
    </row>
    <row r="92" spans="2:9" x14ac:dyDescent="0.25">
      <c r="B92" s="64" t="str">
        <f t="shared" si="6"/>
        <v/>
      </c>
      <c r="C92" s="37"/>
      <c r="D92" s="28"/>
      <c r="E92" s="38"/>
      <c r="F92" s="41" t="str">
        <f t="shared" si="7"/>
        <v/>
      </c>
      <c r="G92" s="41" t="str">
        <f t="shared" si="8"/>
        <v/>
      </c>
      <c r="H92" s="29"/>
      <c r="I92" s="40"/>
    </row>
    <row r="93" spans="2:9" x14ac:dyDescent="0.25">
      <c r="B93" s="67" t="str">
        <f t="shared" si="6"/>
        <v/>
      </c>
      <c r="C93" s="37"/>
      <c r="D93" s="28"/>
      <c r="E93" s="38"/>
      <c r="F93" s="45" t="str">
        <f t="shared" si="7"/>
        <v/>
      </c>
      <c r="G93" s="45" t="str">
        <f t="shared" si="8"/>
        <v/>
      </c>
      <c r="H93" s="29"/>
      <c r="I93" s="40"/>
    </row>
    <row r="94" spans="2:9" x14ac:dyDescent="0.25">
      <c r="B94" s="64" t="str">
        <f t="shared" si="6"/>
        <v/>
      </c>
      <c r="C94" s="37"/>
      <c r="D94" s="28"/>
      <c r="E94" s="38"/>
      <c r="F94" s="41" t="str">
        <f t="shared" si="7"/>
        <v/>
      </c>
      <c r="G94" s="41" t="str">
        <f t="shared" si="8"/>
        <v/>
      </c>
      <c r="H94" s="29"/>
      <c r="I94" s="40"/>
    </row>
    <row r="95" spans="2:9" x14ac:dyDescent="0.25">
      <c r="B95" s="67" t="str">
        <f t="shared" si="6"/>
        <v/>
      </c>
      <c r="C95" s="37"/>
      <c r="D95" s="28"/>
      <c r="E95" s="38"/>
      <c r="F95" s="45" t="str">
        <f t="shared" si="7"/>
        <v/>
      </c>
      <c r="G95" s="45" t="str">
        <f t="shared" si="8"/>
        <v/>
      </c>
      <c r="H95" s="29"/>
      <c r="I95" s="40"/>
    </row>
    <row r="96" spans="2:9" x14ac:dyDescent="0.25">
      <c r="B96" s="64" t="str">
        <f t="shared" si="6"/>
        <v/>
      </c>
      <c r="C96" s="37"/>
      <c r="D96" s="28"/>
      <c r="E96" s="38"/>
      <c r="F96" s="41" t="str">
        <f t="shared" si="7"/>
        <v/>
      </c>
      <c r="G96" s="41" t="str">
        <f t="shared" si="8"/>
        <v/>
      </c>
      <c r="H96" s="29"/>
      <c r="I96" s="40"/>
    </row>
    <row r="97" spans="2:9" x14ac:dyDescent="0.25">
      <c r="B97" s="67" t="str">
        <f t="shared" si="6"/>
        <v/>
      </c>
      <c r="C97" s="37"/>
      <c r="D97" s="28"/>
      <c r="E97" s="38"/>
      <c r="F97" s="45" t="str">
        <f t="shared" si="7"/>
        <v/>
      </c>
      <c r="G97" s="45" t="str">
        <f t="shared" si="8"/>
        <v/>
      </c>
      <c r="H97" s="29"/>
      <c r="I97" s="40"/>
    </row>
    <row r="98" spans="2:9" x14ac:dyDescent="0.25">
      <c r="B98" s="64" t="str">
        <f t="shared" si="6"/>
        <v/>
      </c>
      <c r="C98" s="37"/>
      <c r="D98" s="28"/>
      <c r="E98" s="38"/>
      <c r="F98" s="41" t="str">
        <f t="shared" si="7"/>
        <v/>
      </c>
      <c r="G98" s="41" t="str">
        <f t="shared" si="8"/>
        <v/>
      </c>
      <c r="H98" s="29"/>
      <c r="I98" s="40"/>
    </row>
    <row r="99" spans="2:9" x14ac:dyDescent="0.25">
      <c r="B99" s="67" t="str">
        <f t="shared" si="6"/>
        <v/>
      </c>
      <c r="C99" s="37"/>
      <c r="D99" s="28"/>
      <c r="E99" s="38"/>
      <c r="F99" s="45" t="str">
        <f t="shared" si="7"/>
        <v/>
      </c>
      <c r="G99" s="45" t="str">
        <f t="shared" si="8"/>
        <v/>
      </c>
      <c r="H99" s="29"/>
      <c r="I99" s="40"/>
    </row>
    <row r="100" spans="2:9" x14ac:dyDescent="0.25">
      <c r="B100" s="64" t="str">
        <f t="shared" si="6"/>
        <v/>
      </c>
      <c r="C100" s="37"/>
      <c r="D100" s="28"/>
      <c r="E100" s="38"/>
      <c r="F100" s="41" t="str">
        <f t="shared" si="7"/>
        <v/>
      </c>
      <c r="G100" s="41" t="str">
        <f t="shared" si="8"/>
        <v/>
      </c>
      <c r="H100" s="29"/>
      <c r="I100" s="40"/>
    </row>
    <row r="101" spans="2:9" x14ac:dyDescent="0.25">
      <c r="B101" s="67" t="str">
        <f t="shared" si="6"/>
        <v/>
      </c>
      <c r="C101" s="37"/>
      <c r="D101" s="28"/>
      <c r="E101" s="38"/>
      <c r="F101" s="45" t="str">
        <f t="shared" si="7"/>
        <v/>
      </c>
      <c r="G101" s="45" t="str">
        <f t="shared" si="8"/>
        <v/>
      </c>
      <c r="H101" s="29"/>
      <c r="I101" s="40"/>
    </row>
    <row r="102" spans="2:9" x14ac:dyDescent="0.25">
      <c r="B102" s="64" t="str">
        <f t="shared" si="6"/>
        <v/>
      </c>
      <c r="C102" s="37"/>
      <c r="D102" s="28"/>
      <c r="E102" s="38"/>
      <c r="F102" s="41" t="str">
        <f t="shared" si="7"/>
        <v/>
      </c>
      <c r="G102" s="41" t="str">
        <f t="shared" si="8"/>
        <v/>
      </c>
      <c r="H102" s="29"/>
      <c r="I102" s="40"/>
    </row>
    <row r="103" spans="2:9" x14ac:dyDescent="0.25">
      <c r="B103" s="67" t="str">
        <f t="shared" si="6"/>
        <v/>
      </c>
      <c r="C103" s="37"/>
      <c r="D103" s="28"/>
      <c r="E103" s="38"/>
      <c r="F103" s="45" t="str">
        <f t="shared" si="7"/>
        <v/>
      </c>
      <c r="G103" s="45" t="str">
        <f t="shared" si="8"/>
        <v/>
      </c>
      <c r="H103" s="29"/>
      <c r="I103" s="40"/>
    </row>
    <row r="104" spans="2:9" x14ac:dyDescent="0.25">
      <c r="B104" s="64" t="str">
        <f t="shared" ref="B104:B135" si="9">IF($C104="","","PR-"&amp;TEXT($C104,"yyyy-mm-dd"))</f>
        <v/>
      </c>
      <c r="C104" s="37"/>
      <c r="D104" s="28"/>
      <c r="E104" s="38"/>
      <c r="F104" s="41" t="str">
        <f t="shared" ref="F104:F135" si="10">IF($D104="","",IFERROR(INDEX(Pay_Cash,MATCH($D104,Pay_Comp,0)),"UNKNOWN"))</f>
        <v/>
      </c>
      <c r="G104" s="41" t="str">
        <f t="shared" ref="G104:G135" si="11">IF($D104="","",IFERROR(INDEX(Pay_Exp,MATCH($D104,Pay_Comp,0)),"UNKNOWN"))</f>
        <v/>
      </c>
      <c r="H104" s="29"/>
      <c r="I104" s="40"/>
    </row>
    <row r="105" spans="2:9" x14ac:dyDescent="0.25">
      <c r="B105" s="67" t="str">
        <f t="shared" si="9"/>
        <v/>
      </c>
      <c r="C105" s="37"/>
      <c r="D105" s="28"/>
      <c r="E105" s="38"/>
      <c r="F105" s="45" t="str">
        <f t="shared" si="10"/>
        <v/>
      </c>
      <c r="G105" s="45" t="str">
        <f t="shared" si="11"/>
        <v/>
      </c>
      <c r="H105" s="29"/>
      <c r="I105" s="40"/>
    </row>
    <row r="106" spans="2:9" x14ac:dyDescent="0.25">
      <c r="B106" s="64" t="str">
        <f t="shared" si="9"/>
        <v/>
      </c>
      <c r="C106" s="37"/>
      <c r="D106" s="28"/>
      <c r="E106" s="38"/>
      <c r="F106" s="41" t="str">
        <f t="shared" si="10"/>
        <v/>
      </c>
      <c r="G106" s="41" t="str">
        <f t="shared" si="11"/>
        <v/>
      </c>
      <c r="H106" s="29"/>
      <c r="I106" s="40"/>
    </row>
    <row r="107" spans="2:9" x14ac:dyDescent="0.25">
      <c r="B107" s="67" t="str">
        <f t="shared" si="9"/>
        <v/>
      </c>
      <c r="C107" s="37"/>
      <c r="D107" s="28"/>
      <c r="E107" s="38"/>
      <c r="F107" s="45" t="str">
        <f t="shared" si="10"/>
        <v/>
      </c>
      <c r="G107" s="45" t="str">
        <f t="shared" si="11"/>
        <v/>
      </c>
      <c r="H107" s="29"/>
      <c r="I107" s="40"/>
    </row>
    <row r="108" spans="2:9" x14ac:dyDescent="0.25">
      <c r="B108" s="64" t="str">
        <f t="shared" si="9"/>
        <v/>
      </c>
      <c r="C108" s="37"/>
      <c r="D108" s="28"/>
      <c r="E108" s="38"/>
      <c r="F108" s="41" t="str">
        <f t="shared" si="10"/>
        <v/>
      </c>
      <c r="G108" s="41" t="str">
        <f t="shared" si="11"/>
        <v/>
      </c>
      <c r="H108" s="29"/>
      <c r="I108" s="40"/>
    </row>
    <row r="109" spans="2:9" x14ac:dyDescent="0.25">
      <c r="B109" s="67" t="str">
        <f t="shared" si="9"/>
        <v/>
      </c>
      <c r="C109" s="37"/>
      <c r="D109" s="28"/>
      <c r="E109" s="38"/>
      <c r="F109" s="45" t="str">
        <f t="shared" si="10"/>
        <v/>
      </c>
      <c r="G109" s="45" t="str">
        <f t="shared" si="11"/>
        <v/>
      </c>
      <c r="H109" s="29"/>
      <c r="I109" s="40"/>
    </row>
    <row r="110" spans="2:9" x14ac:dyDescent="0.25">
      <c r="B110" s="64" t="str">
        <f t="shared" si="9"/>
        <v/>
      </c>
      <c r="C110" s="37"/>
      <c r="D110" s="28"/>
      <c r="E110" s="38"/>
      <c r="F110" s="41" t="str">
        <f t="shared" si="10"/>
        <v/>
      </c>
      <c r="G110" s="41" t="str">
        <f t="shared" si="11"/>
        <v/>
      </c>
      <c r="H110" s="29"/>
      <c r="I110" s="40"/>
    </row>
    <row r="111" spans="2:9" x14ac:dyDescent="0.25">
      <c r="B111" s="67" t="str">
        <f t="shared" si="9"/>
        <v/>
      </c>
      <c r="C111" s="37"/>
      <c r="D111" s="28"/>
      <c r="E111" s="38"/>
      <c r="F111" s="45" t="str">
        <f t="shared" si="10"/>
        <v/>
      </c>
      <c r="G111" s="45" t="str">
        <f t="shared" si="11"/>
        <v/>
      </c>
      <c r="H111" s="29"/>
      <c r="I111" s="40"/>
    </row>
    <row r="112" spans="2:9" x14ac:dyDescent="0.25">
      <c r="B112" s="64" t="str">
        <f t="shared" si="9"/>
        <v/>
      </c>
      <c r="C112" s="37"/>
      <c r="D112" s="28"/>
      <c r="E112" s="38"/>
      <c r="F112" s="41" t="str">
        <f t="shared" si="10"/>
        <v/>
      </c>
      <c r="G112" s="41" t="str">
        <f t="shared" si="11"/>
        <v/>
      </c>
      <c r="H112" s="29"/>
      <c r="I112" s="40"/>
    </row>
    <row r="113" spans="2:9" x14ac:dyDescent="0.25">
      <c r="B113" s="67" t="str">
        <f t="shared" si="9"/>
        <v/>
      </c>
      <c r="C113" s="37"/>
      <c r="D113" s="28"/>
      <c r="E113" s="38"/>
      <c r="F113" s="45" t="str">
        <f t="shared" si="10"/>
        <v/>
      </c>
      <c r="G113" s="45" t="str">
        <f t="shared" si="11"/>
        <v/>
      </c>
      <c r="H113" s="29"/>
      <c r="I113" s="40"/>
    </row>
    <row r="114" spans="2:9" x14ac:dyDescent="0.25">
      <c r="B114" s="64" t="str">
        <f t="shared" si="9"/>
        <v/>
      </c>
      <c r="C114" s="37"/>
      <c r="D114" s="28"/>
      <c r="E114" s="38"/>
      <c r="F114" s="41" t="str">
        <f t="shared" si="10"/>
        <v/>
      </c>
      <c r="G114" s="41" t="str">
        <f t="shared" si="11"/>
        <v/>
      </c>
      <c r="H114" s="29"/>
      <c r="I114" s="40"/>
    </row>
    <row r="115" spans="2:9" x14ac:dyDescent="0.25">
      <c r="B115" s="67" t="str">
        <f t="shared" si="9"/>
        <v/>
      </c>
      <c r="C115" s="37"/>
      <c r="D115" s="28"/>
      <c r="E115" s="38"/>
      <c r="F115" s="45" t="str">
        <f t="shared" si="10"/>
        <v/>
      </c>
      <c r="G115" s="45" t="str">
        <f t="shared" si="11"/>
        <v/>
      </c>
      <c r="H115" s="29"/>
      <c r="I115" s="40"/>
    </row>
    <row r="116" spans="2:9" x14ac:dyDescent="0.25">
      <c r="B116" s="64" t="str">
        <f t="shared" si="9"/>
        <v/>
      </c>
      <c r="C116" s="37"/>
      <c r="D116" s="28"/>
      <c r="E116" s="38"/>
      <c r="F116" s="41" t="str">
        <f t="shared" si="10"/>
        <v/>
      </c>
      <c r="G116" s="41" t="str">
        <f t="shared" si="11"/>
        <v/>
      </c>
      <c r="H116" s="29"/>
      <c r="I116" s="40"/>
    </row>
    <row r="117" spans="2:9" x14ac:dyDescent="0.25">
      <c r="B117" s="67" t="str">
        <f t="shared" si="9"/>
        <v/>
      </c>
      <c r="C117" s="37"/>
      <c r="D117" s="28"/>
      <c r="E117" s="38"/>
      <c r="F117" s="45" t="str">
        <f t="shared" si="10"/>
        <v/>
      </c>
      <c r="G117" s="45" t="str">
        <f t="shared" si="11"/>
        <v/>
      </c>
      <c r="H117" s="29"/>
      <c r="I117" s="40"/>
    </row>
    <row r="118" spans="2:9" x14ac:dyDescent="0.25">
      <c r="B118" s="64" t="str">
        <f t="shared" si="9"/>
        <v/>
      </c>
      <c r="C118" s="37"/>
      <c r="D118" s="28"/>
      <c r="E118" s="38"/>
      <c r="F118" s="41" t="str">
        <f t="shared" si="10"/>
        <v/>
      </c>
      <c r="G118" s="41" t="str">
        <f t="shared" si="11"/>
        <v/>
      </c>
      <c r="H118" s="29"/>
      <c r="I118" s="40"/>
    </row>
    <row r="119" spans="2:9" x14ac:dyDescent="0.25">
      <c r="B119" s="67" t="str">
        <f t="shared" si="9"/>
        <v/>
      </c>
      <c r="C119" s="37"/>
      <c r="D119" s="28"/>
      <c r="E119" s="38"/>
      <c r="F119" s="45" t="str">
        <f t="shared" si="10"/>
        <v/>
      </c>
      <c r="G119" s="45" t="str">
        <f t="shared" si="11"/>
        <v/>
      </c>
      <c r="H119" s="29"/>
      <c r="I119" s="40"/>
    </row>
    <row r="120" spans="2:9" x14ac:dyDescent="0.25">
      <c r="B120" s="64" t="str">
        <f t="shared" si="9"/>
        <v/>
      </c>
      <c r="C120" s="37"/>
      <c r="D120" s="28"/>
      <c r="E120" s="38"/>
      <c r="F120" s="41" t="str">
        <f t="shared" si="10"/>
        <v/>
      </c>
      <c r="G120" s="41" t="str">
        <f t="shared" si="11"/>
        <v/>
      </c>
      <c r="H120" s="29"/>
      <c r="I120" s="40"/>
    </row>
    <row r="121" spans="2:9" x14ac:dyDescent="0.25">
      <c r="B121" s="67" t="str">
        <f t="shared" si="9"/>
        <v/>
      </c>
      <c r="C121" s="37"/>
      <c r="D121" s="28"/>
      <c r="E121" s="38"/>
      <c r="F121" s="45" t="str">
        <f t="shared" si="10"/>
        <v/>
      </c>
      <c r="G121" s="45" t="str">
        <f t="shared" si="11"/>
        <v/>
      </c>
      <c r="H121" s="29"/>
      <c r="I121" s="40"/>
    </row>
    <row r="122" spans="2:9" x14ac:dyDescent="0.25">
      <c r="B122" s="64" t="str">
        <f t="shared" si="9"/>
        <v/>
      </c>
      <c r="C122" s="37"/>
      <c r="D122" s="28"/>
      <c r="E122" s="38"/>
      <c r="F122" s="41" t="str">
        <f t="shared" si="10"/>
        <v/>
      </c>
      <c r="G122" s="41" t="str">
        <f t="shared" si="11"/>
        <v/>
      </c>
      <c r="H122" s="29"/>
      <c r="I122" s="40"/>
    </row>
    <row r="123" spans="2:9" x14ac:dyDescent="0.25">
      <c r="B123" s="67" t="str">
        <f t="shared" si="9"/>
        <v/>
      </c>
      <c r="C123" s="37"/>
      <c r="D123" s="28"/>
      <c r="E123" s="38"/>
      <c r="F123" s="45" t="str">
        <f t="shared" si="10"/>
        <v/>
      </c>
      <c r="G123" s="45" t="str">
        <f t="shared" si="11"/>
        <v/>
      </c>
      <c r="H123" s="29"/>
      <c r="I123" s="40"/>
    </row>
    <row r="124" spans="2:9" x14ac:dyDescent="0.25">
      <c r="B124" s="64" t="str">
        <f t="shared" si="9"/>
        <v/>
      </c>
      <c r="C124" s="37"/>
      <c r="D124" s="28"/>
      <c r="E124" s="38"/>
      <c r="F124" s="41" t="str">
        <f t="shared" si="10"/>
        <v/>
      </c>
      <c r="G124" s="41" t="str">
        <f t="shared" si="11"/>
        <v/>
      </c>
      <c r="H124" s="29"/>
      <c r="I124" s="40"/>
    </row>
    <row r="125" spans="2:9" x14ac:dyDescent="0.25">
      <c r="B125" s="67" t="str">
        <f t="shared" si="9"/>
        <v/>
      </c>
      <c r="C125" s="37"/>
      <c r="D125" s="28"/>
      <c r="E125" s="38"/>
      <c r="F125" s="45" t="str">
        <f t="shared" si="10"/>
        <v/>
      </c>
      <c r="G125" s="45" t="str">
        <f t="shared" si="11"/>
        <v/>
      </c>
      <c r="H125" s="29"/>
      <c r="I125" s="40"/>
    </row>
    <row r="126" spans="2:9" x14ac:dyDescent="0.25">
      <c r="B126" s="64" t="str">
        <f t="shared" si="9"/>
        <v/>
      </c>
      <c r="C126" s="37"/>
      <c r="D126" s="28"/>
      <c r="E126" s="38"/>
      <c r="F126" s="41" t="str">
        <f t="shared" si="10"/>
        <v/>
      </c>
      <c r="G126" s="41" t="str">
        <f t="shared" si="11"/>
        <v/>
      </c>
      <c r="H126" s="29"/>
      <c r="I126" s="40"/>
    </row>
    <row r="127" spans="2:9" x14ac:dyDescent="0.25">
      <c r="B127" s="67" t="str">
        <f t="shared" si="9"/>
        <v/>
      </c>
      <c r="C127" s="37"/>
      <c r="D127" s="28"/>
      <c r="E127" s="38"/>
      <c r="F127" s="45" t="str">
        <f t="shared" si="10"/>
        <v/>
      </c>
      <c r="G127" s="45" t="str">
        <f t="shared" si="11"/>
        <v/>
      </c>
      <c r="H127" s="29"/>
      <c r="I127" s="40"/>
    </row>
    <row r="128" spans="2:9" x14ac:dyDescent="0.25">
      <c r="B128" s="64" t="str">
        <f t="shared" si="9"/>
        <v/>
      </c>
      <c r="C128" s="37"/>
      <c r="D128" s="28"/>
      <c r="E128" s="38"/>
      <c r="F128" s="41" t="str">
        <f t="shared" si="10"/>
        <v/>
      </c>
      <c r="G128" s="41" t="str">
        <f t="shared" si="11"/>
        <v/>
      </c>
      <c r="H128" s="29"/>
      <c r="I128" s="40"/>
    </row>
    <row r="129" spans="2:9" x14ac:dyDescent="0.25">
      <c r="B129" s="67" t="str">
        <f t="shared" si="9"/>
        <v/>
      </c>
      <c r="C129" s="37"/>
      <c r="D129" s="28"/>
      <c r="E129" s="38"/>
      <c r="F129" s="45" t="str">
        <f t="shared" si="10"/>
        <v/>
      </c>
      <c r="G129" s="45" t="str">
        <f t="shared" si="11"/>
        <v/>
      </c>
      <c r="H129" s="29"/>
      <c r="I129" s="40"/>
    </row>
    <row r="130" spans="2:9" x14ac:dyDescent="0.25">
      <c r="B130" s="64" t="str">
        <f t="shared" si="9"/>
        <v/>
      </c>
      <c r="C130" s="37"/>
      <c r="D130" s="28"/>
      <c r="E130" s="38"/>
      <c r="F130" s="41" t="str">
        <f t="shared" si="10"/>
        <v/>
      </c>
      <c r="G130" s="41" t="str">
        <f t="shared" si="11"/>
        <v/>
      </c>
      <c r="H130" s="29"/>
      <c r="I130" s="40"/>
    </row>
    <row r="131" spans="2:9" x14ac:dyDescent="0.25">
      <c r="B131" s="67" t="str">
        <f t="shared" si="9"/>
        <v/>
      </c>
      <c r="C131" s="37"/>
      <c r="D131" s="28"/>
      <c r="E131" s="38"/>
      <c r="F131" s="45" t="str">
        <f t="shared" si="10"/>
        <v/>
      </c>
      <c r="G131" s="45" t="str">
        <f t="shared" si="11"/>
        <v/>
      </c>
      <c r="H131" s="29"/>
      <c r="I131" s="40"/>
    </row>
    <row r="132" spans="2:9" x14ac:dyDescent="0.25">
      <c r="B132" s="64" t="str">
        <f t="shared" si="9"/>
        <v/>
      </c>
      <c r="C132" s="37"/>
      <c r="D132" s="28"/>
      <c r="E132" s="38"/>
      <c r="F132" s="41" t="str">
        <f t="shared" si="10"/>
        <v/>
      </c>
      <c r="G132" s="41" t="str">
        <f t="shared" si="11"/>
        <v/>
      </c>
      <c r="H132" s="29"/>
      <c r="I132" s="40"/>
    </row>
    <row r="133" spans="2:9" x14ac:dyDescent="0.25">
      <c r="B133" s="67" t="str">
        <f t="shared" si="9"/>
        <v/>
      </c>
      <c r="C133" s="37"/>
      <c r="D133" s="28"/>
      <c r="E133" s="38"/>
      <c r="F133" s="45" t="str">
        <f t="shared" si="10"/>
        <v/>
      </c>
      <c r="G133" s="45" t="str">
        <f t="shared" si="11"/>
        <v/>
      </c>
      <c r="H133" s="29"/>
      <c r="I133" s="40"/>
    </row>
    <row r="134" spans="2:9" x14ac:dyDescent="0.25">
      <c r="B134" s="64" t="str">
        <f t="shared" si="9"/>
        <v/>
      </c>
      <c r="C134" s="37"/>
      <c r="D134" s="28"/>
      <c r="E134" s="38"/>
      <c r="F134" s="41" t="str">
        <f t="shared" si="10"/>
        <v/>
      </c>
      <c r="G134" s="41" t="str">
        <f t="shared" si="11"/>
        <v/>
      </c>
      <c r="H134" s="29"/>
      <c r="I134" s="40"/>
    </row>
    <row r="135" spans="2:9" x14ac:dyDescent="0.25">
      <c r="B135" s="67" t="str">
        <f t="shared" si="9"/>
        <v/>
      </c>
      <c r="C135" s="37"/>
      <c r="D135" s="28"/>
      <c r="E135" s="38"/>
      <c r="F135" s="45" t="str">
        <f t="shared" si="10"/>
        <v/>
      </c>
      <c r="G135" s="45" t="str">
        <f t="shared" si="11"/>
        <v/>
      </c>
      <c r="H135" s="29"/>
      <c r="I135" s="40"/>
    </row>
    <row r="136" spans="2:9" x14ac:dyDescent="0.25">
      <c r="B136" s="64" t="str">
        <f t="shared" ref="B136:B167" si="12">IF($C136="","","PR-"&amp;TEXT($C136,"yyyy-mm-dd"))</f>
        <v/>
      </c>
      <c r="C136" s="37"/>
      <c r="D136" s="28"/>
      <c r="E136" s="38"/>
      <c r="F136" s="41" t="str">
        <f t="shared" ref="F136:F167" si="13">IF($D136="","",IFERROR(INDEX(Pay_Cash,MATCH($D136,Pay_Comp,0)),"UNKNOWN"))</f>
        <v/>
      </c>
      <c r="G136" s="41" t="str">
        <f t="shared" ref="G136:G167" si="14">IF($D136="","",IFERROR(INDEX(Pay_Exp,MATCH($D136,Pay_Comp,0)),"UNKNOWN"))</f>
        <v/>
      </c>
      <c r="H136" s="29"/>
      <c r="I136" s="40"/>
    </row>
    <row r="137" spans="2:9" x14ac:dyDescent="0.25">
      <c r="B137" s="67" t="str">
        <f t="shared" si="12"/>
        <v/>
      </c>
      <c r="C137" s="37"/>
      <c r="D137" s="28"/>
      <c r="E137" s="38"/>
      <c r="F137" s="45" t="str">
        <f t="shared" si="13"/>
        <v/>
      </c>
      <c r="G137" s="45" t="str">
        <f t="shared" si="14"/>
        <v/>
      </c>
      <c r="H137" s="29"/>
      <c r="I137" s="40"/>
    </row>
    <row r="138" spans="2:9" x14ac:dyDescent="0.25">
      <c r="B138" s="64" t="str">
        <f t="shared" si="12"/>
        <v/>
      </c>
      <c r="C138" s="37"/>
      <c r="D138" s="28"/>
      <c r="E138" s="38"/>
      <c r="F138" s="41" t="str">
        <f t="shared" si="13"/>
        <v/>
      </c>
      <c r="G138" s="41" t="str">
        <f t="shared" si="14"/>
        <v/>
      </c>
      <c r="H138" s="29"/>
      <c r="I138" s="40"/>
    </row>
    <row r="139" spans="2:9" x14ac:dyDescent="0.25">
      <c r="B139" s="67" t="str">
        <f t="shared" si="12"/>
        <v/>
      </c>
      <c r="C139" s="37"/>
      <c r="D139" s="28"/>
      <c r="E139" s="38"/>
      <c r="F139" s="45" t="str">
        <f t="shared" si="13"/>
        <v/>
      </c>
      <c r="G139" s="45" t="str">
        <f t="shared" si="14"/>
        <v/>
      </c>
      <c r="H139" s="29"/>
      <c r="I139" s="40"/>
    </row>
    <row r="140" spans="2:9" x14ac:dyDescent="0.25">
      <c r="B140" s="64" t="str">
        <f t="shared" si="12"/>
        <v/>
      </c>
      <c r="C140" s="37"/>
      <c r="D140" s="28"/>
      <c r="E140" s="38"/>
      <c r="F140" s="41" t="str">
        <f t="shared" si="13"/>
        <v/>
      </c>
      <c r="G140" s="41" t="str">
        <f t="shared" si="14"/>
        <v/>
      </c>
      <c r="H140" s="29"/>
      <c r="I140" s="40"/>
    </row>
    <row r="141" spans="2:9" x14ac:dyDescent="0.25">
      <c r="B141" s="67" t="str">
        <f t="shared" si="12"/>
        <v/>
      </c>
      <c r="C141" s="37"/>
      <c r="D141" s="28"/>
      <c r="E141" s="38"/>
      <c r="F141" s="45" t="str">
        <f t="shared" si="13"/>
        <v/>
      </c>
      <c r="G141" s="45" t="str">
        <f t="shared" si="14"/>
        <v/>
      </c>
      <c r="H141" s="29"/>
      <c r="I141" s="40"/>
    </row>
    <row r="142" spans="2:9" x14ac:dyDescent="0.25">
      <c r="B142" s="64" t="str">
        <f t="shared" si="12"/>
        <v/>
      </c>
      <c r="C142" s="37"/>
      <c r="D142" s="28"/>
      <c r="E142" s="38"/>
      <c r="F142" s="41" t="str">
        <f t="shared" si="13"/>
        <v/>
      </c>
      <c r="G142" s="41" t="str">
        <f t="shared" si="14"/>
        <v/>
      </c>
      <c r="H142" s="29"/>
      <c r="I142" s="40"/>
    </row>
    <row r="143" spans="2:9" x14ac:dyDescent="0.25">
      <c r="B143" s="67" t="str">
        <f t="shared" si="12"/>
        <v/>
      </c>
      <c r="C143" s="37"/>
      <c r="D143" s="28"/>
      <c r="E143" s="38"/>
      <c r="F143" s="45" t="str">
        <f t="shared" si="13"/>
        <v/>
      </c>
      <c r="G143" s="45" t="str">
        <f t="shared" si="14"/>
        <v/>
      </c>
      <c r="H143" s="29"/>
      <c r="I143" s="40"/>
    </row>
    <row r="144" spans="2:9" x14ac:dyDescent="0.25">
      <c r="B144" s="64" t="str">
        <f t="shared" si="12"/>
        <v/>
      </c>
      <c r="C144" s="37"/>
      <c r="D144" s="28"/>
      <c r="E144" s="38"/>
      <c r="F144" s="41" t="str">
        <f t="shared" si="13"/>
        <v/>
      </c>
      <c r="G144" s="41" t="str">
        <f t="shared" si="14"/>
        <v/>
      </c>
      <c r="H144" s="29"/>
      <c r="I144" s="40"/>
    </row>
    <row r="145" spans="2:9" x14ac:dyDescent="0.25">
      <c r="B145" s="67" t="str">
        <f t="shared" si="12"/>
        <v/>
      </c>
      <c r="C145" s="37"/>
      <c r="D145" s="28"/>
      <c r="E145" s="38"/>
      <c r="F145" s="45" t="str">
        <f t="shared" si="13"/>
        <v/>
      </c>
      <c r="G145" s="45" t="str">
        <f t="shared" si="14"/>
        <v/>
      </c>
      <c r="H145" s="29"/>
      <c r="I145" s="40"/>
    </row>
    <row r="146" spans="2:9" x14ac:dyDescent="0.25">
      <c r="B146" s="64" t="str">
        <f t="shared" si="12"/>
        <v/>
      </c>
      <c r="C146" s="37"/>
      <c r="D146" s="28"/>
      <c r="E146" s="38"/>
      <c r="F146" s="41" t="str">
        <f t="shared" si="13"/>
        <v/>
      </c>
      <c r="G146" s="41" t="str">
        <f t="shared" si="14"/>
        <v/>
      </c>
      <c r="H146" s="29"/>
      <c r="I146" s="40"/>
    </row>
    <row r="147" spans="2:9" x14ac:dyDescent="0.25">
      <c r="B147" s="67" t="str">
        <f t="shared" si="12"/>
        <v/>
      </c>
      <c r="C147" s="37"/>
      <c r="D147" s="28"/>
      <c r="E147" s="38"/>
      <c r="F147" s="45" t="str">
        <f t="shared" si="13"/>
        <v/>
      </c>
      <c r="G147" s="45" t="str">
        <f t="shared" si="14"/>
        <v/>
      </c>
      <c r="H147" s="29"/>
      <c r="I147" s="40"/>
    </row>
    <row r="148" spans="2:9" x14ac:dyDescent="0.25">
      <c r="B148" s="64" t="str">
        <f t="shared" si="12"/>
        <v/>
      </c>
      <c r="C148" s="37"/>
      <c r="D148" s="28"/>
      <c r="E148" s="38"/>
      <c r="F148" s="41" t="str">
        <f t="shared" si="13"/>
        <v/>
      </c>
      <c r="G148" s="41" t="str">
        <f t="shared" si="14"/>
        <v/>
      </c>
      <c r="H148" s="29"/>
      <c r="I148" s="40"/>
    </row>
    <row r="149" spans="2:9" x14ac:dyDescent="0.25">
      <c r="B149" s="67" t="str">
        <f t="shared" si="12"/>
        <v/>
      </c>
      <c r="C149" s="37"/>
      <c r="D149" s="28"/>
      <c r="E149" s="38"/>
      <c r="F149" s="45" t="str">
        <f t="shared" si="13"/>
        <v/>
      </c>
      <c r="G149" s="45" t="str">
        <f t="shared" si="14"/>
        <v/>
      </c>
      <c r="H149" s="29"/>
      <c r="I149" s="40"/>
    </row>
    <row r="150" spans="2:9" x14ac:dyDescent="0.25">
      <c r="B150" s="64" t="str">
        <f t="shared" si="12"/>
        <v/>
      </c>
      <c r="C150" s="37"/>
      <c r="D150" s="28"/>
      <c r="E150" s="38"/>
      <c r="F150" s="41" t="str">
        <f t="shared" si="13"/>
        <v/>
      </c>
      <c r="G150" s="41" t="str">
        <f t="shared" si="14"/>
        <v/>
      </c>
      <c r="H150" s="29"/>
      <c r="I150" s="40"/>
    </row>
    <row r="151" spans="2:9" x14ac:dyDescent="0.25">
      <c r="B151" s="67" t="str">
        <f t="shared" si="12"/>
        <v/>
      </c>
      <c r="C151" s="37"/>
      <c r="D151" s="28"/>
      <c r="E151" s="38"/>
      <c r="F151" s="45" t="str">
        <f t="shared" si="13"/>
        <v/>
      </c>
      <c r="G151" s="45" t="str">
        <f t="shared" si="14"/>
        <v/>
      </c>
      <c r="H151" s="29"/>
      <c r="I151" s="40"/>
    </row>
    <row r="152" spans="2:9" x14ac:dyDescent="0.25">
      <c r="B152" s="64" t="str">
        <f t="shared" si="12"/>
        <v/>
      </c>
      <c r="C152" s="37"/>
      <c r="D152" s="28"/>
      <c r="E152" s="38"/>
      <c r="F152" s="41" t="str">
        <f t="shared" si="13"/>
        <v/>
      </c>
      <c r="G152" s="41" t="str">
        <f t="shared" si="14"/>
        <v/>
      </c>
      <c r="H152" s="29"/>
      <c r="I152" s="40"/>
    </row>
    <row r="153" spans="2:9" x14ac:dyDescent="0.25">
      <c r="B153" s="67" t="str">
        <f t="shared" si="12"/>
        <v/>
      </c>
      <c r="C153" s="37"/>
      <c r="D153" s="28"/>
      <c r="E153" s="38"/>
      <c r="F153" s="45" t="str">
        <f t="shared" si="13"/>
        <v/>
      </c>
      <c r="G153" s="45" t="str">
        <f t="shared" si="14"/>
        <v/>
      </c>
      <c r="H153" s="29"/>
      <c r="I153" s="40"/>
    </row>
    <row r="154" spans="2:9" x14ac:dyDescent="0.25">
      <c r="B154" s="64" t="str">
        <f t="shared" si="12"/>
        <v/>
      </c>
      <c r="C154" s="37"/>
      <c r="D154" s="28"/>
      <c r="E154" s="38"/>
      <c r="F154" s="41" t="str">
        <f t="shared" si="13"/>
        <v/>
      </c>
      <c r="G154" s="41" t="str">
        <f t="shared" si="14"/>
        <v/>
      </c>
      <c r="H154" s="29"/>
      <c r="I154" s="40"/>
    </row>
    <row r="155" spans="2:9" x14ac:dyDescent="0.25">
      <c r="B155" s="67" t="str">
        <f t="shared" si="12"/>
        <v/>
      </c>
      <c r="C155" s="37"/>
      <c r="D155" s="28"/>
      <c r="E155" s="38"/>
      <c r="F155" s="45" t="str">
        <f t="shared" si="13"/>
        <v/>
      </c>
      <c r="G155" s="45" t="str">
        <f t="shared" si="14"/>
        <v/>
      </c>
      <c r="H155" s="29"/>
      <c r="I155" s="40"/>
    </row>
    <row r="156" spans="2:9" x14ac:dyDescent="0.25">
      <c r="B156" s="64" t="str">
        <f t="shared" si="12"/>
        <v/>
      </c>
      <c r="C156" s="37"/>
      <c r="D156" s="28"/>
      <c r="E156" s="38"/>
      <c r="F156" s="41" t="str">
        <f t="shared" si="13"/>
        <v/>
      </c>
      <c r="G156" s="41" t="str">
        <f t="shared" si="14"/>
        <v/>
      </c>
      <c r="H156" s="29"/>
      <c r="I156" s="40"/>
    </row>
    <row r="157" spans="2:9" x14ac:dyDescent="0.25">
      <c r="B157" s="67" t="str">
        <f t="shared" si="12"/>
        <v/>
      </c>
      <c r="C157" s="37"/>
      <c r="D157" s="28"/>
      <c r="E157" s="38"/>
      <c r="F157" s="45" t="str">
        <f t="shared" si="13"/>
        <v/>
      </c>
      <c r="G157" s="45" t="str">
        <f t="shared" si="14"/>
        <v/>
      </c>
      <c r="H157" s="29"/>
      <c r="I157" s="40"/>
    </row>
    <row r="158" spans="2:9" x14ac:dyDescent="0.25">
      <c r="B158" s="64" t="str">
        <f t="shared" si="12"/>
        <v/>
      </c>
      <c r="C158" s="37"/>
      <c r="D158" s="28"/>
      <c r="E158" s="38"/>
      <c r="F158" s="41" t="str">
        <f t="shared" si="13"/>
        <v/>
      </c>
      <c r="G158" s="41" t="str">
        <f t="shared" si="14"/>
        <v/>
      </c>
      <c r="H158" s="29"/>
      <c r="I158" s="40"/>
    </row>
    <row r="159" spans="2:9" x14ac:dyDescent="0.25">
      <c r="B159" s="67" t="str">
        <f t="shared" si="12"/>
        <v/>
      </c>
      <c r="C159" s="37"/>
      <c r="D159" s="28"/>
      <c r="E159" s="38"/>
      <c r="F159" s="45" t="str">
        <f t="shared" si="13"/>
        <v/>
      </c>
      <c r="G159" s="45" t="str">
        <f t="shared" si="14"/>
        <v/>
      </c>
      <c r="H159" s="29"/>
      <c r="I159" s="40"/>
    </row>
    <row r="160" spans="2:9" x14ac:dyDescent="0.25">
      <c r="B160" s="64" t="str">
        <f t="shared" si="12"/>
        <v/>
      </c>
      <c r="C160" s="37"/>
      <c r="D160" s="28"/>
      <c r="E160" s="38"/>
      <c r="F160" s="41" t="str">
        <f t="shared" si="13"/>
        <v/>
      </c>
      <c r="G160" s="41" t="str">
        <f t="shared" si="14"/>
        <v/>
      </c>
      <c r="H160" s="29"/>
      <c r="I160" s="40"/>
    </row>
    <row r="161" spans="2:9" x14ac:dyDescent="0.25">
      <c r="B161" s="67" t="str">
        <f t="shared" si="12"/>
        <v/>
      </c>
      <c r="C161" s="37"/>
      <c r="D161" s="28"/>
      <c r="E161" s="38"/>
      <c r="F161" s="45" t="str">
        <f t="shared" si="13"/>
        <v/>
      </c>
      <c r="G161" s="45" t="str">
        <f t="shared" si="14"/>
        <v/>
      </c>
      <c r="H161" s="29"/>
      <c r="I161" s="40"/>
    </row>
    <row r="162" spans="2:9" x14ac:dyDescent="0.25">
      <c r="B162" s="64" t="str">
        <f t="shared" si="12"/>
        <v/>
      </c>
      <c r="C162" s="37"/>
      <c r="D162" s="28"/>
      <c r="E162" s="38"/>
      <c r="F162" s="41" t="str">
        <f t="shared" si="13"/>
        <v/>
      </c>
      <c r="G162" s="41" t="str">
        <f t="shared" si="14"/>
        <v/>
      </c>
      <c r="H162" s="29"/>
      <c r="I162" s="40"/>
    </row>
    <row r="163" spans="2:9" x14ac:dyDescent="0.25">
      <c r="B163" s="67" t="str">
        <f t="shared" si="12"/>
        <v/>
      </c>
      <c r="C163" s="37"/>
      <c r="D163" s="28"/>
      <c r="E163" s="38"/>
      <c r="F163" s="45" t="str">
        <f t="shared" si="13"/>
        <v/>
      </c>
      <c r="G163" s="45" t="str">
        <f t="shared" si="14"/>
        <v/>
      </c>
      <c r="H163" s="29"/>
      <c r="I163" s="40"/>
    </row>
    <row r="164" spans="2:9" x14ac:dyDescent="0.25">
      <c r="B164" s="64" t="str">
        <f t="shared" si="12"/>
        <v/>
      </c>
      <c r="C164" s="37"/>
      <c r="D164" s="28"/>
      <c r="E164" s="38"/>
      <c r="F164" s="41" t="str">
        <f t="shared" si="13"/>
        <v/>
      </c>
      <c r="G164" s="41" t="str">
        <f t="shared" si="14"/>
        <v/>
      </c>
      <c r="H164" s="29"/>
      <c r="I164" s="40"/>
    </row>
    <row r="165" spans="2:9" x14ac:dyDescent="0.25">
      <c r="B165" s="67" t="str">
        <f t="shared" si="12"/>
        <v/>
      </c>
      <c r="C165" s="37"/>
      <c r="D165" s="28"/>
      <c r="E165" s="38"/>
      <c r="F165" s="45" t="str">
        <f t="shared" si="13"/>
        <v/>
      </c>
      <c r="G165" s="45" t="str">
        <f t="shared" si="14"/>
        <v/>
      </c>
      <c r="H165" s="29"/>
      <c r="I165" s="40"/>
    </row>
    <row r="166" spans="2:9" x14ac:dyDescent="0.25">
      <c r="B166" s="64" t="str">
        <f t="shared" si="12"/>
        <v/>
      </c>
      <c r="C166" s="37"/>
      <c r="D166" s="28"/>
      <c r="E166" s="38"/>
      <c r="F166" s="41" t="str">
        <f t="shared" si="13"/>
        <v/>
      </c>
      <c r="G166" s="41" t="str">
        <f t="shared" si="14"/>
        <v/>
      </c>
      <c r="H166" s="29"/>
      <c r="I166" s="40"/>
    </row>
    <row r="167" spans="2:9" x14ac:dyDescent="0.25">
      <c r="B167" s="67" t="str">
        <f t="shared" si="12"/>
        <v/>
      </c>
      <c r="C167" s="37"/>
      <c r="D167" s="28"/>
      <c r="E167" s="38"/>
      <c r="F167" s="45" t="str">
        <f t="shared" si="13"/>
        <v/>
      </c>
      <c r="G167" s="45" t="str">
        <f t="shared" si="14"/>
        <v/>
      </c>
      <c r="H167" s="29"/>
      <c r="I167" s="40"/>
    </row>
    <row r="168" spans="2:9" x14ac:dyDescent="0.25">
      <c r="B168" s="64" t="str">
        <f t="shared" ref="B168:B199" si="15">IF($C168="","","PR-"&amp;TEXT($C168,"yyyy-mm-dd"))</f>
        <v/>
      </c>
      <c r="C168" s="37"/>
      <c r="D168" s="28"/>
      <c r="E168" s="38"/>
      <c r="F168" s="41" t="str">
        <f t="shared" ref="F168:F199" si="16">IF($D168="","",IFERROR(INDEX(Pay_Cash,MATCH($D168,Pay_Comp,0)),"UNKNOWN"))</f>
        <v/>
      </c>
      <c r="G168" s="41" t="str">
        <f t="shared" ref="G168:G199" si="17">IF($D168="","",IFERROR(INDEX(Pay_Exp,MATCH($D168,Pay_Comp,0)),"UNKNOWN"))</f>
        <v/>
      </c>
      <c r="H168" s="29"/>
      <c r="I168" s="40"/>
    </row>
    <row r="169" spans="2:9" x14ac:dyDescent="0.25">
      <c r="B169" s="67" t="str">
        <f t="shared" si="15"/>
        <v/>
      </c>
      <c r="C169" s="37"/>
      <c r="D169" s="28"/>
      <c r="E169" s="38"/>
      <c r="F169" s="45" t="str">
        <f t="shared" si="16"/>
        <v/>
      </c>
      <c r="G169" s="45" t="str">
        <f t="shared" si="17"/>
        <v/>
      </c>
      <c r="H169" s="29"/>
      <c r="I169" s="40"/>
    </row>
    <row r="170" spans="2:9" x14ac:dyDescent="0.25">
      <c r="B170" s="64" t="str">
        <f t="shared" si="15"/>
        <v/>
      </c>
      <c r="C170" s="37"/>
      <c r="D170" s="28"/>
      <c r="E170" s="38"/>
      <c r="F170" s="41" t="str">
        <f t="shared" si="16"/>
        <v/>
      </c>
      <c r="G170" s="41" t="str">
        <f t="shared" si="17"/>
        <v/>
      </c>
      <c r="H170" s="29"/>
      <c r="I170" s="40"/>
    </row>
    <row r="171" spans="2:9" x14ac:dyDescent="0.25">
      <c r="B171" s="67" t="str">
        <f t="shared" si="15"/>
        <v/>
      </c>
      <c r="C171" s="37"/>
      <c r="D171" s="28"/>
      <c r="E171" s="38"/>
      <c r="F171" s="45" t="str">
        <f t="shared" si="16"/>
        <v/>
      </c>
      <c r="G171" s="45" t="str">
        <f t="shared" si="17"/>
        <v/>
      </c>
      <c r="H171" s="29"/>
      <c r="I171" s="40"/>
    </row>
    <row r="172" spans="2:9" x14ac:dyDescent="0.25">
      <c r="B172" s="64" t="str">
        <f t="shared" si="15"/>
        <v/>
      </c>
      <c r="C172" s="37"/>
      <c r="D172" s="28"/>
      <c r="E172" s="38"/>
      <c r="F172" s="41" t="str">
        <f t="shared" si="16"/>
        <v/>
      </c>
      <c r="G172" s="41" t="str">
        <f t="shared" si="17"/>
        <v/>
      </c>
      <c r="H172" s="29"/>
      <c r="I172" s="40"/>
    </row>
    <row r="173" spans="2:9" x14ac:dyDescent="0.25">
      <c r="B173" s="67" t="str">
        <f t="shared" si="15"/>
        <v/>
      </c>
      <c r="C173" s="37"/>
      <c r="D173" s="28"/>
      <c r="E173" s="38"/>
      <c r="F173" s="45" t="str">
        <f t="shared" si="16"/>
        <v/>
      </c>
      <c r="G173" s="45" t="str">
        <f t="shared" si="17"/>
        <v/>
      </c>
      <c r="H173" s="29"/>
      <c r="I173" s="40"/>
    </row>
    <row r="174" spans="2:9" x14ac:dyDescent="0.25">
      <c r="B174" s="64" t="str">
        <f t="shared" si="15"/>
        <v/>
      </c>
      <c r="C174" s="37"/>
      <c r="D174" s="28"/>
      <c r="E174" s="38"/>
      <c r="F174" s="41" t="str">
        <f t="shared" si="16"/>
        <v/>
      </c>
      <c r="G174" s="41" t="str">
        <f t="shared" si="17"/>
        <v/>
      </c>
      <c r="H174" s="29"/>
      <c r="I174" s="40"/>
    </row>
    <row r="175" spans="2:9" x14ac:dyDescent="0.25">
      <c r="B175" s="67" t="str">
        <f t="shared" si="15"/>
        <v/>
      </c>
      <c r="C175" s="37"/>
      <c r="D175" s="28"/>
      <c r="E175" s="38"/>
      <c r="F175" s="45" t="str">
        <f t="shared" si="16"/>
        <v/>
      </c>
      <c r="G175" s="45" t="str">
        <f t="shared" si="17"/>
        <v/>
      </c>
      <c r="H175" s="29"/>
      <c r="I175" s="40"/>
    </row>
    <row r="176" spans="2:9" x14ac:dyDescent="0.25">
      <c r="B176" s="64" t="str">
        <f t="shared" si="15"/>
        <v/>
      </c>
      <c r="C176" s="37"/>
      <c r="D176" s="28"/>
      <c r="E176" s="38"/>
      <c r="F176" s="41" t="str">
        <f t="shared" si="16"/>
        <v/>
      </c>
      <c r="G176" s="41" t="str">
        <f t="shared" si="17"/>
        <v/>
      </c>
      <c r="H176" s="29"/>
      <c r="I176" s="40"/>
    </row>
    <row r="177" spans="2:9" x14ac:dyDescent="0.25">
      <c r="B177" s="67" t="str">
        <f t="shared" si="15"/>
        <v/>
      </c>
      <c r="C177" s="37"/>
      <c r="D177" s="28"/>
      <c r="E177" s="38"/>
      <c r="F177" s="45" t="str">
        <f t="shared" si="16"/>
        <v/>
      </c>
      <c r="G177" s="45" t="str">
        <f t="shared" si="17"/>
        <v/>
      </c>
      <c r="H177" s="29"/>
      <c r="I177" s="40"/>
    </row>
    <row r="178" spans="2:9" x14ac:dyDescent="0.25">
      <c r="B178" s="64" t="str">
        <f t="shared" si="15"/>
        <v/>
      </c>
      <c r="C178" s="37"/>
      <c r="D178" s="28"/>
      <c r="E178" s="38"/>
      <c r="F178" s="41" t="str">
        <f t="shared" si="16"/>
        <v/>
      </c>
      <c r="G178" s="41" t="str">
        <f t="shared" si="17"/>
        <v/>
      </c>
      <c r="H178" s="29"/>
      <c r="I178" s="40"/>
    </row>
    <row r="179" spans="2:9" x14ac:dyDescent="0.25">
      <c r="B179" s="67" t="str">
        <f t="shared" si="15"/>
        <v/>
      </c>
      <c r="C179" s="37"/>
      <c r="D179" s="28"/>
      <c r="E179" s="38"/>
      <c r="F179" s="45" t="str">
        <f t="shared" si="16"/>
        <v/>
      </c>
      <c r="G179" s="45" t="str">
        <f t="shared" si="17"/>
        <v/>
      </c>
      <c r="H179" s="29"/>
      <c r="I179" s="40"/>
    </row>
    <row r="180" spans="2:9" x14ac:dyDescent="0.25">
      <c r="B180" s="64" t="str">
        <f t="shared" si="15"/>
        <v/>
      </c>
      <c r="C180" s="37"/>
      <c r="D180" s="28"/>
      <c r="E180" s="38"/>
      <c r="F180" s="41" t="str">
        <f t="shared" si="16"/>
        <v/>
      </c>
      <c r="G180" s="41" t="str">
        <f t="shared" si="17"/>
        <v/>
      </c>
      <c r="H180" s="29"/>
      <c r="I180" s="40"/>
    </row>
    <row r="181" spans="2:9" x14ac:dyDescent="0.25">
      <c r="B181" s="67" t="str">
        <f t="shared" si="15"/>
        <v/>
      </c>
      <c r="C181" s="37"/>
      <c r="D181" s="28"/>
      <c r="E181" s="38"/>
      <c r="F181" s="45" t="str">
        <f t="shared" si="16"/>
        <v/>
      </c>
      <c r="G181" s="45" t="str">
        <f t="shared" si="17"/>
        <v/>
      </c>
      <c r="H181" s="29"/>
      <c r="I181" s="40"/>
    </row>
    <row r="182" spans="2:9" x14ac:dyDescent="0.25">
      <c r="B182" s="64" t="str">
        <f t="shared" si="15"/>
        <v/>
      </c>
      <c r="C182" s="37"/>
      <c r="D182" s="28"/>
      <c r="E182" s="38"/>
      <c r="F182" s="41" t="str">
        <f t="shared" si="16"/>
        <v/>
      </c>
      <c r="G182" s="41" t="str">
        <f t="shared" si="17"/>
        <v/>
      </c>
      <c r="H182" s="29"/>
      <c r="I182" s="40"/>
    </row>
    <row r="183" spans="2:9" x14ac:dyDescent="0.25">
      <c r="B183" s="67" t="str">
        <f t="shared" si="15"/>
        <v/>
      </c>
      <c r="C183" s="37"/>
      <c r="D183" s="28"/>
      <c r="E183" s="38"/>
      <c r="F183" s="45" t="str">
        <f t="shared" si="16"/>
        <v/>
      </c>
      <c r="G183" s="45" t="str">
        <f t="shared" si="17"/>
        <v/>
      </c>
      <c r="H183" s="29"/>
      <c r="I183" s="40"/>
    </row>
    <row r="184" spans="2:9" x14ac:dyDescent="0.25">
      <c r="B184" s="64" t="str">
        <f t="shared" si="15"/>
        <v/>
      </c>
      <c r="C184" s="37"/>
      <c r="D184" s="28"/>
      <c r="E184" s="38"/>
      <c r="F184" s="41" t="str">
        <f t="shared" si="16"/>
        <v/>
      </c>
      <c r="G184" s="41" t="str">
        <f t="shared" si="17"/>
        <v/>
      </c>
      <c r="H184" s="29"/>
      <c r="I184" s="40"/>
    </row>
    <row r="185" spans="2:9" x14ac:dyDescent="0.25">
      <c r="B185" s="67" t="str">
        <f t="shared" si="15"/>
        <v/>
      </c>
      <c r="C185" s="37"/>
      <c r="D185" s="28"/>
      <c r="E185" s="38"/>
      <c r="F185" s="45" t="str">
        <f t="shared" si="16"/>
        <v/>
      </c>
      <c r="G185" s="45" t="str">
        <f t="shared" si="17"/>
        <v/>
      </c>
      <c r="H185" s="29"/>
      <c r="I185" s="40"/>
    </row>
    <row r="186" spans="2:9" x14ac:dyDescent="0.25">
      <c r="B186" s="64" t="str">
        <f t="shared" si="15"/>
        <v/>
      </c>
      <c r="C186" s="37"/>
      <c r="D186" s="28"/>
      <c r="E186" s="38"/>
      <c r="F186" s="41" t="str">
        <f t="shared" si="16"/>
        <v/>
      </c>
      <c r="G186" s="41" t="str">
        <f t="shared" si="17"/>
        <v/>
      </c>
      <c r="H186" s="29"/>
      <c r="I186" s="40"/>
    </row>
    <row r="187" spans="2:9" x14ac:dyDescent="0.25">
      <c r="B187" s="67" t="str">
        <f t="shared" si="15"/>
        <v/>
      </c>
      <c r="C187" s="37"/>
      <c r="D187" s="28"/>
      <c r="E187" s="38"/>
      <c r="F187" s="45" t="str">
        <f t="shared" si="16"/>
        <v/>
      </c>
      <c r="G187" s="45" t="str">
        <f t="shared" si="17"/>
        <v/>
      </c>
      <c r="H187" s="29"/>
      <c r="I187" s="40"/>
    </row>
    <row r="188" spans="2:9" x14ac:dyDescent="0.25">
      <c r="B188" s="64" t="str">
        <f t="shared" si="15"/>
        <v/>
      </c>
      <c r="C188" s="37"/>
      <c r="D188" s="28"/>
      <c r="E188" s="38"/>
      <c r="F188" s="41" t="str">
        <f t="shared" si="16"/>
        <v/>
      </c>
      <c r="G188" s="41" t="str">
        <f t="shared" si="17"/>
        <v/>
      </c>
      <c r="H188" s="29"/>
      <c r="I188" s="40"/>
    </row>
    <row r="189" spans="2:9" x14ac:dyDescent="0.25">
      <c r="B189" s="67" t="str">
        <f t="shared" si="15"/>
        <v/>
      </c>
      <c r="C189" s="37"/>
      <c r="D189" s="28"/>
      <c r="E189" s="38"/>
      <c r="F189" s="45" t="str">
        <f t="shared" si="16"/>
        <v/>
      </c>
      <c r="G189" s="45" t="str">
        <f t="shared" si="17"/>
        <v/>
      </c>
      <c r="H189" s="29"/>
      <c r="I189" s="40"/>
    </row>
    <row r="190" spans="2:9" x14ac:dyDescent="0.25">
      <c r="B190" s="64" t="str">
        <f t="shared" si="15"/>
        <v/>
      </c>
      <c r="C190" s="37"/>
      <c r="D190" s="28"/>
      <c r="E190" s="38"/>
      <c r="F190" s="41" t="str">
        <f t="shared" si="16"/>
        <v/>
      </c>
      <c r="G190" s="41" t="str">
        <f t="shared" si="17"/>
        <v/>
      </c>
      <c r="H190" s="29"/>
      <c r="I190" s="40"/>
    </row>
    <row r="191" spans="2:9" x14ac:dyDescent="0.25">
      <c r="B191" s="67" t="str">
        <f t="shared" si="15"/>
        <v/>
      </c>
      <c r="C191" s="37"/>
      <c r="D191" s="28"/>
      <c r="E191" s="38"/>
      <c r="F191" s="45" t="str">
        <f t="shared" si="16"/>
        <v/>
      </c>
      <c r="G191" s="45" t="str">
        <f t="shared" si="17"/>
        <v/>
      </c>
      <c r="H191" s="29"/>
      <c r="I191" s="40"/>
    </row>
    <row r="192" spans="2:9" x14ac:dyDescent="0.25">
      <c r="B192" s="64" t="str">
        <f t="shared" si="15"/>
        <v/>
      </c>
      <c r="C192" s="37"/>
      <c r="D192" s="28"/>
      <c r="E192" s="38"/>
      <c r="F192" s="41" t="str">
        <f t="shared" si="16"/>
        <v/>
      </c>
      <c r="G192" s="41" t="str">
        <f t="shared" si="17"/>
        <v/>
      </c>
      <c r="H192" s="29"/>
      <c r="I192" s="40"/>
    </row>
    <row r="193" spans="1:9" x14ac:dyDescent="0.25">
      <c r="B193" s="67" t="str">
        <f t="shared" si="15"/>
        <v/>
      </c>
      <c r="C193" s="37"/>
      <c r="D193" s="28"/>
      <c r="E193" s="38"/>
      <c r="F193" s="45" t="str">
        <f t="shared" si="16"/>
        <v/>
      </c>
      <c r="G193" s="45" t="str">
        <f t="shared" si="17"/>
        <v/>
      </c>
      <c r="H193" s="29"/>
      <c r="I193" s="40"/>
    </row>
    <row r="194" spans="1:9" x14ac:dyDescent="0.25">
      <c r="B194" s="64" t="str">
        <f t="shared" si="15"/>
        <v/>
      </c>
      <c r="C194" s="37"/>
      <c r="D194" s="28"/>
      <c r="E194" s="38"/>
      <c r="F194" s="41" t="str">
        <f t="shared" si="16"/>
        <v/>
      </c>
      <c r="G194" s="41" t="str">
        <f t="shared" si="17"/>
        <v/>
      </c>
      <c r="H194" s="29"/>
      <c r="I194" s="40"/>
    </row>
    <row r="195" spans="1:9" x14ac:dyDescent="0.25">
      <c r="B195" s="67" t="str">
        <f t="shared" si="15"/>
        <v/>
      </c>
      <c r="C195" s="37"/>
      <c r="D195" s="28"/>
      <c r="E195" s="38"/>
      <c r="F195" s="45" t="str">
        <f t="shared" si="16"/>
        <v/>
      </c>
      <c r="G195" s="45" t="str">
        <f t="shared" si="17"/>
        <v/>
      </c>
      <c r="H195" s="29"/>
      <c r="I195" s="40"/>
    </row>
    <row r="196" spans="1:9" x14ac:dyDescent="0.25">
      <c r="B196" s="64" t="str">
        <f t="shared" si="15"/>
        <v/>
      </c>
      <c r="C196" s="37"/>
      <c r="D196" s="28"/>
      <c r="E196" s="38"/>
      <c r="F196" s="41" t="str">
        <f t="shared" si="16"/>
        <v/>
      </c>
      <c r="G196" s="41" t="str">
        <f t="shared" si="17"/>
        <v/>
      </c>
      <c r="H196" s="29"/>
      <c r="I196" s="40"/>
    </row>
    <row r="197" spans="1:9" x14ac:dyDescent="0.25">
      <c r="B197" s="67" t="str">
        <f t="shared" si="15"/>
        <v/>
      </c>
      <c r="C197" s="37"/>
      <c r="D197" s="28"/>
      <c r="E197" s="38"/>
      <c r="F197" s="45" t="str">
        <f t="shared" si="16"/>
        <v/>
      </c>
      <c r="G197" s="45" t="str">
        <f t="shared" si="17"/>
        <v/>
      </c>
      <c r="H197" s="29"/>
      <c r="I197" s="40"/>
    </row>
    <row r="198" spans="1:9" x14ac:dyDescent="0.25">
      <c r="B198" s="64" t="str">
        <f t="shared" si="15"/>
        <v/>
      </c>
      <c r="C198" s="37"/>
      <c r="D198" s="28"/>
      <c r="E198" s="38"/>
      <c r="F198" s="41" t="str">
        <f t="shared" si="16"/>
        <v/>
      </c>
      <c r="G198" s="41" t="str">
        <f t="shared" si="17"/>
        <v/>
      </c>
      <c r="H198" s="29"/>
      <c r="I198" s="40"/>
    </row>
    <row r="199" spans="1:9" x14ac:dyDescent="0.25">
      <c r="B199" s="67" t="str">
        <f t="shared" si="15"/>
        <v/>
      </c>
      <c r="C199" s="37"/>
      <c r="D199" s="28"/>
      <c r="E199" s="38"/>
      <c r="F199" s="45" t="str">
        <f t="shared" si="16"/>
        <v/>
      </c>
      <c r="G199" s="45" t="str">
        <f t="shared" si="17"/>
        <v/>
      </c>
      <c r="H199" s="29"/>
      <c r="I199" s="40"/>
    </row>
    <row r="200" spans="1:9" x14ac:dyDescent="0.25">
      <c r="B200" s="64" t="str">
        <f t="shared" ref="B200:B207" si="18">IF($C200="","","PR-"&amp;TEXT($C200,"yyyy-mm-dd"))</f>
        <v/>
      </c>
      <c r="C200" s="37"/>
      <c r="D200" s="28"/>
      <c r="E200" s="38"/>
      <c r="F200" s="41" t="str">
        <f t="shared" ref="F200:F207" si="19">IF($D200="","",IFERROR(INDEX(Pay_Cash,MATCH($D200,Pay_Comp,0)),"UNKNOWN"))</f>
        <v/>
      </c>
      <c r="G200" s="41" t="str">
        <f t="shared" ref="G200:G207" si="20">IF($D200="","",IFERROR(INDEX(Pay_Exp,MATCH($D200,Pay_Comp,0)),"UNKNOWN"))</f>
        <v/>
      </c>
      <c r="H200" s="29"/>
      <c r="I200" s="40"/>
    </row>
    <row r="201" spans="1:9" x14ac:dyDescent="0.25">
      <c r="B201" s="67" t="str">
        <f t="shared" si="18"/>
        <v/>
      </c>
      <c r="C201" s="37"/>
      <c r="D201" s="28"/>
      <c r="E201" s="38"/>
      <c r="F201" s="45" t="str">
        <f t="shared" si="19"/>
        <v/>
      </c>
      <c r="G201" s="45" t="str">
        <f t="shared" si="20"/>
        <v/>
      </c>
      <c r="H201" s="29"/>
      <c r="I201" s="40"/>
    </row>
    <row r="202" spans="1:9" x14ac:dyDescent="0.25">
      <c r="B202" s="64" t="str">
        <f t="shared" si="18"/>
        <v/>
      </c>
      <c r="C202" s="37"/>
      <c r="D202" s="28"/>
      <c r="E202" s="38"/>
      <c r="F202" s="41" t="str">
        <f t="shared" si="19"/>
        <v/>
      </c>
      <c r="G202" s="41" t="str">
        <f t="shared" si="20"/>
        <v/>
      </c>
      <c r="H202" s="29"/>
      <c r="I202" s="40"/>
    </row>
    <row r="203" spans="1:9" x14ac:dyDescent="0.25">
      <c r="B203" s="67" t="str">
        <f t="shared" si="18"/>
        <v/>
      </c>
      <c r="C203" s="37"/>
      <c r="D203" s="28"/>
      <c r="E203" s="38"/>
      <c r="F203" s="45" t="str">
        <f t="shared" si="19"/>
        <v/>
      </c>
      <c r="G203" s="45" t="str">
        <f t="shared" si="20"/>
        <v/>
      </c>
      <c r="H203" s="29"/>
      <c r="I203" s="40"/>
    </row>
    <row r="204" spans="1:9" x14ac:dyDescent="0.25">
      <c r="B204" s="64" t="str">
        <f t="shared" si="18"/>
        <v/>
      </c>
      <c r="C204" s="37"/>
      <c r="D204" s="28"/>
      <c r="E204" s="38"/>
      <c r="F204" s="41" t="str">
        <f t="shared" si="19"/>
        <v/>
      </c>
      <c r="G204" s="41" t="str">
        <f t="shared" si="20"/>
        <v/>
      </c>
      <c r="H204" s="29"/>
      <c r="I204" s="40"/>
    </row>
    <row r="205" spans="1:9" x14ac:dyDescent="0.25">
      <c r="B205" s="67" t="str">
        <f t="shared" si="18"/>
        <v/>
      </c>
      <c r="C205" s="37"/>
      <c r="D205" s="28"/>
      <c r="E205" s="38"/>
      <c r="F205" s="45" t="str">
        <f t="shared" si="19"/>
        <v/>
      </c>
      <c r="G205" s="45" t="str">
        <f t="shared" si="20"/>
        <v/>
      </c>
      <c r="H205" s="29"/>
      <c r="I205" s="40"/>
    </row>
    <row r="206" spans="1:9" x14ac:dyDescent="0.25">
      <c r="B206" s="64" t="str">
        <f t="shared" si="18"/>
        <v/>
      </c>
      <c r="C206" s="37"/>
      <c r="D206" s="28"/>
      <c r="E206" s="38"/>
      <c r="F206" s="41" t="str">
        <f t="shared" si="19"/>
        <v/>
      </c>
      <c r="G206" s="41" t="str">
        <f t="shared" si="20"/>
        <v/>
      </c>
      <c r="H206" s="29"/>
      <c r="I206" s="40"/>
    </row>
    <row r="207" spans="1:9" x14ac:dyDescent="0.25">
      <c r="B207" s="67" t="str">
        <f t="shared" si="18"/>
        <v/>
      </c>
      <c r="C207" s="37"/>
      <c r="D207" s="28"/>
      <c r="E207" s="38"/>
      <c r="F207" s="45" t="str">
        <f t="shared" si="19"/>
        <v/>
      </c>
      <c r="G207" s="45" t="str">
        <f t="shared" si="20"/>
        <v/>
      </c>
      <c r="H207" s="29"/>
      <c r="I207" s="40"/>
    </row>
    <row r="208" spans="1:9" ht="29.1" customHeight="1" x14ac:dyDescent="0.25">
      <c r="A208" s="197" t="s">
        <v>257</v>
      </c>
      <c r="B208" s="173"/>
      <c r="C208" s="173"/>
      <c r="D208" s="173"/>
      <c r="E208" s="173"/>
      <c r="F208" s="173"/>
      <c r="G208" s="173"/>
      <c r="H208" s="173"/>
      <c r="I208" s="173"/>
    </row>
    <row r="209" spans="1:9" x14ac:dyDescent="0.25">
      <c r="A209" s="190" t="s">
        <v>112</v>
      </c>
      <c r="B209" s="191"/>
      <c r="C209" s="30">
        <f>SUMPRODUCT(--('9. Payroll Allocation'!$C$8:$C$207&lt;&gt;""))</f>
        <v>0</v>
      </c>
    </row>
    <row r="210" spans="1:9" x14ac:dyDescent="0.25">
      <c r="A210" s="190" t="s">
        <v>113</v>
      </c>
      <c r="B210" s="191"/>
      <c r="C210" s="30">
        <v>200</v>
      </c>
    </row>
    <row r="211" spans="1:9" x14ac:dyDescent="0.25">
      <c r="A211" s="190" t="s">
        <v>114</v>
      </c>
      <c r="B211" s="191"/>
      <c r="C211" s="30">
        <f>MAX(0,200-$C$209)</f>
        <v>200</v>
      </c>
    </row>
    <row r="212" spans="1:9" x14ac:dyDescent="0.25">
      <c r="A212" s="194" t="s">
        <v>115</v>
      </c>
      <c r="B212" s="191"/>
      <c r="C212" s="31" t="str">
        <f>IF($C$211&lt;=0,"FULL - no more rows can be entered",IF($C$211&lt;=20,"NEARLY FULL - contact Powell United","OK"))</f>
        <v>OK</v>
      </c>
      <c r="D212" s="193" t="s">
        <v>258</v>
      </c>
      <c r="E212" s="173"/>
      <c r="F212" s="173"/>
      <c r="G212" s="173"/>
      <c r="H212" s="173"/>
      <c r="I212" s="173"/>
    </row>
    <row r="213" spans="1:9" ht="20.100000000000001" customHeight="1" x14ac:dyDescent="0.25">
      <c r="A213" s="178" t="s">
        <v>259</v>
      </c>
      <c r="B213" s="173"/>
      <c r="C213" s="173"/>
      <c r="D213" s="173"/>
      <c r="E213" s="173"/>
      <c r="F213" s="173"/>
      <c r="G213" s="173"/>
      <c r="H213" s="173"/>
      <c r="I213" s="173"/>
    </row>
    <row r="214" spans="1:9" ht="177.6" customHeight="1" x14ac:dyDescent="0.25">
      <c r="A214" s="215" t="s">
        <v>260</v>
      </c>
      <c r="B214" s="173"/>
      <c r="C214" s="173"/>
      <c r="D214" s="173"/>
      <c r="E214" s="173"/>
      <c r="F214" s="173"/>
      <c r="G214" s="173"/>
      <c r="H214" s="173"/>
      <c r="I214" s="173"/>
    </row>
    <row r="215" spans="1:9" ht="8.1" customHeight="1" x14ac:dyDescent="0.25"/>
    <row r="216" spans="1:9" ht="20.100000000000001" customHeight="1" x14ac:dyDescent="0.25">
      <c r="A216" s="178" t="s">
        <v>261</v>
      </c>
      <c r="B216" s="173"/>
      <c r="C216" s="173"/>
      <c r="D216" s="173"/>
      <c r="E216" s="173"/>
      <c r="F216" s="173"/>
      <c r="G216" s="173"/>
      <c r="H216" s="173"/>
      <c r="I216" s="173"/>
    </row>
    <row r="217" spans="1:9" ht="30.6" customHeight="1" x14ac:dyDescent="0.25">
      <c r="B217" s="192" t="s">
        <v>262</v>
      </c>
      <c r="C217" s="173"/>
      <c r="D217" s="173"/>
      <c r="E217" s="173"/>
      <c r="F217" s="173"/>
      <c r="G217" s="173"/>
      <c r="H217" s="173"/>
      <c r="I217" s="173"/>
    </row>
    <row r="218" spans="1:9" ht="24" customHeight="1" x14ac:dyDescent="0.25">
      <c r="B218" s="27" t="s">
        <v>253</v>
      </c>
      <c r="C218" s="27" t="s">
        <v>255</v>
      </c>
      <c r="D218" s="27" t="s">
        <v>256</v>
      </c>
      <c r="E218" s="27" t="s">
        <v>263</v>
      </c>
    </row>
    <row r="219" spans="1:9" x14ac:dyDescent="0.25">
      <c r="B219" s="62" t="s">
        <v>264</v>
      </c>
      <c r="C219" s="73" t="s">
        <v>265</v>
      </c>
      <c r="D219" s="73" t="s">
        <v>265</v>
      </c>
      <c r="E219" s="219" t="s">
        <v>266</v>
      </c>
      <c r="F219" s="173"/>
      <c r="G219" s="173"/>
      <c r="H219" s="173"/>
      <c r="I219" s="173"/>
    </row>
    <row r="220" spans="1:9" x14ac:dyDescent="0.25">
      <c r="B220" s="54" t="s">
        <v>267</v>
      </c>
      <c r="C220" s="75" t="s">
        <v>265</v>
      </c>
      <c r="D220" s="75" t="s">
        <v>265</v>
      </c>
      <c r="E220" s="217" t="s">
        <v>268</v>
      </c>
      <c r="F220" s="173"/>
      <c r="G220" s="173"/>
      <c r="H220" s="173"/>
      <c r="I220" s="173"/>
    </row>
    <row r="221" spans="1:9" x14ac:dyDescent="0.25">
      <c r="B221" s="62" t="s">
        <v>269</v>
      </c>
      <c r="C221" s="73" t="s">
        <v>265</v>
      </c>
      <c r="D221" s="73" t="s">
        <v>265</v>
      </c>
      <c r="E221" s="219" t="s">
        <v>270</v>
      </c>
      <c r="F221" s="173"/>
      <c r="G221" s="173"/>
      <c r="H221" s="173"/>
      <c r="I221" s="173"/>
    </row>
    <row r="222" spans="1:9" x14ac:dyDescent="0.25">
      <c r="B222" s="54" t="s">
        <v>271</v>
      </c>
      <c r="C222" s="75" t="s">
        <v>265</v>
      </c>
      <c r="D222" s="75" t="s">
        <v>265</v>
      </c>
      <c r="E222" s="217" t="s">
        <v>272</v>
      </c>
      <c r="F222" s="173"/>
      <c r="G222" s="173"/>
      <c r="H222" s="173"/>
      <c r="I222" s="173"/>
    </row>
    <row r="223" spans="1:9" x14ac:dyDescent="0.25">
      <c r="B223" s="62" t="s">
        <v>273</v>
      </c>
      <c r="C223" s="73" t="s">
        <v>265</v>
      </c>
      <c r="D223" s="73" t="s">
        <v>265</v>
      </c>
      <c r="E223" s="219" t="s">
        <v>274</v>
      </c>
      <c r="F223" s="173"/>
      <c r="G223" s="173"/>
      <c r="H223" s="173"/>
      <c r="I223" s="173"/>
    </row>
    <row r="224" spans="1:9" x14ac:dyDescent="0.25">
      <c r="B224" s="54" t="s">
        <v>275</v>
      </c>
      <c r="C224" s="75" t="s">
        <v>265</v>
      </c>
      <c r="D224" s="75" t="s">
        <v>265</v>
      </c>
      <c r="E224" s="217" t="s">
        <v>276</v>
      </c>
      <c r="F224" s="173"/>
      <c r="G224" s="173"/>
      <c r="H224" s="173"/>
      <c r="I224" s="173"/>
    </row>
    <row r="225" spans="1:9" x14ac:dyDescent="0.25">
      <c r="B225" s="62" t="s">
        <v>277</v>
      </c>
      <c r="C225" s="73" t="s">
        <v>265</v>
      </c>
      <c r="D225" s="73" t="s">
        <v>265</v>
      </c>
      <c r="E225" s="219" t="s">
        <v>278</v>
      </c>
      <c r="F225" s="173"/>
      <c r="G225" s="173"/>
      <c r="H225" s="173"/>
      <c r="I225" s="173"/>
    </row>
    <row r="226" spans="1:9" x14ac:dyDescent="0.25">
      <c r="B226" s="54" t="s">
        <v>279</v>
      </c>
      <c r="C226" s="75" t="s">
        <v>265</v>
      </c>
      <c r="D226" s="75" t="s">
        <v>265</v>
      </c>
      <c r="E226" s="217" t="s">
        <v>280</v>
      </c>
      <c r="F226" s="173"/>
      <c r="G226" s="173"/>
      <c r="H226" s="173"/>
      <c r="I226" s="173"/>
    </row>
    <row r="227" spans="1:9" x14ac:dyDescent="0.25">
      <c r="B227" s="62" t="s">
        <v>281</v>
      </c>
      <c r="C227" s="73" t="s">
        <v>282</v>
      </c>
      <c r="D227" s="73" t="s">
        <v>282</v>
      </c>
      <c r="E227" s="219" t="s">
        <v>283</v>
      </c>
      <c r="F227" s="173"/>
      <c r="G227" s="173"/>
      <c r="H227" s="173"/>
      <c r="I227" s="173"/>
    </row>
    <row r="228" spans="1:9" x14ac:dyDescent="0.25">
      <c r="B228" s="54" t="s">
        <v>284</v>
      </c>
      <c r="C228" s="75" t="s">
        <v>282</v>
      </c>
      <c r="D228" s="75" t="s">
        <v>282</v>
      </c>
      <c r="E228" s="217" t="s">
        <v>285</v>
      </c>
      <c r="F228" s="173"/>
      <c r="G228" s="173"/>
      <c r="H228" s="173"/>
      <c r="I228" s="173"/>
    </row>
    <row r="229" spans="1:9" x14ac:dyDescent="0.25">
      <c r="B229" s="62" t="s">
        <v>286</v>
      </c>
      <c r="C229" s="73" t="s">
        <v>282</v>
      </c>
      <c r="D229" s="73" t="s">
        <v>282</v>
      </c>
      <c r="E229" s="219" t="s">
        <v>285</v>
      </c>
      <c r="F229" s="173"/>
      <c r="G229" s="173"/>
      <c r="H229" s="173"/>
      <c r="I229" s="173"/>
    </row>
    <row r="230" spans="1:9" x14ac:dyDescent="0.25">
      <c r="B230" s="54" t="s">
        <v>287</v>
      </c>
      <c r="C230" s="75" t="s">
        <v>265</v>
      </c>
      <c r="D230" s="75" t="s">
        <v>282</v>
      </c>
      <c r="E230" s="217" t="s">
        <v>288</v>
      </c>
      <c r="F230" s="173"/>
      <c r="G230" s="173"/>
      <c r="H230" s="173"/>
      <c r="I230" s="173"/>
    </row>
    <row r="231" spans="1:9" ht="8.1" customHeight="1" x14ac:dyDescent="0.25"/>
    <row r="232" spans="1:9" ht="20.100000000000001" customHeight="1" x14ac:dyDescent="0.25">
      <c r="A232" s="178" t="s">
        <v>289</v>
      </c>
      <c r="B232" s="173"/>
      <c r="C232" s="173"/>
      <c r="D232" s="173"/>
      <c r="E232" s="173"/>
      <c r="F232" s="173"/>
      <c r="G232" s="173"/>
      <c r="H232" s="173"/>
      <c r="I232" s="173"/>
    </row>
    <row r="233" spans="1:9" ht="26.1" customHeight="1" x14ac:dyDescent="0.25">
      <c r="B233" s="27" t="s">
        <v>251</v>
      </c>
      <c r="C233" s="27" t="s">
        <v>290</v>
      </c>
      <c r="D233" s="27" t="s">
        <v>291</v>
      </c>
      <c r="E233" s="27" t="s">
        <v>292</v>
      </c>
      <c r="F233" s="27" t="s">
        <v>224</v>
      </c>
      <c r="G233" s="27" t="s">
        <v>293</v>
      </c>
      <c r="H233" s="27" t="s">
        <v>294</v>
      </c>
    </row>
    <row r="234" spans="1:9" x14ac:dyDescent="0.25">
      <c r="B234" s="29"/>
      <c r="C234" s="77" t="str">
        <f t="shared" ref="C234:C253" si="21">IF($B234="","",IFERROR(IF(N(INDEX($C$8:$C$207,MATCH($B234,$B$8:$B$207,0)))=0,"",INDEX($C$8:$C$207,MATCH($B234,$B$8:$B$207,0))),""))</f>
        <v/>
      </c>
      <c r="D234" s="56" t="str">
        <f t="shared" ref="D234:D253" si="22">IF($B234="","",SUMIFS($E$8:$E$207,$B$8:$B$207,$B234,$F$8:$F$207,"Yes"))</f>
        <v/>
      </c>
      <c r="E234" s="56" t="str">
        <f t="shared" ref="E234:E253" si="23">IF($B234="","",SUMIFS(Txn_Out,Txn_Link,$B234))</f>
        <v/>
      </c>
      <c r="F234" s="65" t="str">
        <f t="shared" ref="F234:F253" si="24">IF($B234="","",ROUND($D234-$E234,2))</f>
        <v/>
      </c>
      <c r="G234" s="56" t="str">
        <f t="shared" ref="G234:G253" si="25">IF($B234="","",IF($H234&lt;&gt;"Tied out",0,SUMIFS($E$8:$E$207,$B$8:$B$207,$B234,$G$8:$G$207,"Yes")))</f>
        <v/>
      </c>
      <c r="H234" s="66" t="str">
        <f t="shared" ref="H234:H253" si="26">IF($B234="","",IF(COUNTIF($B$8:$B$207,$B234)=0,"NO COMPONENTS FOR THIS PAY RUN",IF(COUNTIFS($B$8:$B$207,$B234,$F$8:$F$207,"UNKNOWN")&gt;0,"UNKNOWN COMPONENT - SEE COLUMN D",IF(NOT(ISNUMBER($C234)),"NO PAY DATE ON THE COMPONENTS",IF(N($E234)=0,"NO LINKED WITHDRAWAL",IF(ABS(N($F234))&lt;0.005,"Tied out","CHECK PAYROLL ALLOCATION"))))))</f>
        <v/>
      </c>
    </row>
    <row r="235" spans="1:9" x14ac:dyDescent="0.25">
      <c r="B235" s="29"/>
      <c r="C235" s="78" t="str">
        <f t="shared" si="21"/>
        <v/>
      </c>
      <c r="D235" s="63" t="str">
        <f t="shared" si="22"/>
        <v/>
      </c>
      <c r="E235" s="63" t="str">
        <f t="shared" si="23"/>
        <v/>
      </c>
      <c r="F235" s="68" t="str">
        <f t="shared" si="24"/>
        <v/>
      </c>
      <c r="G235" s="63" t="str">
        <f t="shared" si="25"/>
        <v/>
      </c>
      <c r="H235" s="69" t="str">
        <f t="shared" si="26"/>
        <v/>
      </c>
    </row>
    <row r="236" spans="1:9" x14ac:dyDescent="0.25">
      <c r="B236" s="29"/>
      <c r="C236" s="77" t="str">
        <f t="shared" si="21"/>
        <v/>
      </c>
      <c r="D236" s="56" t="str">
        <f t="shared" si="22"/>
        <v/>
      </c>
      <c r="E236" s="56" t="str">
        <f t="shared" si="23"/>
        <v/>
      </c>
      <c r="F236" s="65" t="str">
        <f t="shared" si="24"/>
        <v/>
      </c>
      <c r="G236" s="56" t="str">
        <f t="shared" si="25"/>
        <v/>
      </c>
      <c r="H236" s="66" t="str">
        <f t="shared" si="26"/>
        <v/>
      </c>
    </row>
    <row r="237" spans="1:9" x14ac:dyDescent="0.25">
      <c r="B237" s="29"/>
      <c r="C237" s="78" t="str">
        <f t="shared" si="21"/>
        <v/>
      </c>
      <c r="D237" s="63" t="str">
        <f t="shared" si="22"/>
        <v/>
      </c>
      <c r="E237" s="63" t="str">
        <f t="shared" si="23"/>
        <v/>
      </c>
      <c r="F237" s="68" t="str">
        <f t="shared" si="24"/>
        <v/>
      </c>
      <c r="G237" s="63" t="str">
        <f t="shared" si="25"/>
        <v/>
      </c>
      <c r="H237" s="69" t="str">
        <f t="shared" si="26"/>
        <v/>
      </c>
    </row>
    <row r="238" spans="1:9" x14ac:dyDescent="0.25">
      <c r="B238" s="29"/>
      <c r="C238" s="77" t="str">
        <f t="shared" si="21"/>
        <v/>
      </c>
      <c r="D238" s="56" t="str">
        <f t="shared" si="22"/>
        <v/>
      </c>
      <c r="E238" s="56" t="str">
        <f t="shared" si="23"/>
        <v/>
      </c>
      <c r="F238" s="65" t="str">
        <f t="shared" si="24"/>
        <v/>
      </c>
      <c r="G238" s="56" t="str">
        <f t="shared" si="25"/>
        <v/>
      </c>
      <c r="H238" s="66" t="str">
        <f t="shared" si="26"/>
        <v/>
      </c>
    </row>
    <row r="239" spans="1:9" x14ac:dyDescent="0.25">
      <c r="B239" s="29"/>
      <c r="C239" s="78" t="str">
        <f t="shared" si="21"/>
        <v/>
      </c>
      <c r="D239" s="63" t="str">
        <f t="shared" si="22"/>
        <v/>
      </c>
      <c r="E239" s="63" t="str">
        <f t="shared" si="23"/>
        <v/>
      </c>
      <c r="F239" s="68" t="str">
        <f t="shared" si="24"/>
        <v/>
      </c>
      <c r="G239" s="63" t="str">
        <f t="shared" si="25"/>
        <v/>
      </c>
      <c r="H239" s="69" t="str">
        <f t="shared" si="26"/>
        <v/>
      </c>
    </row>
    <row r="240" spans="1:9" x14ac:dyDescent="0.25">
      <c r="B240" s="29"/>
      <c r="C240" s="77" t="str">
        <f t="shared" si="21"/>
        <v/>
      </c>
      <c r="D240" s="56" t="str">
        <f t="shared" si="22"/>
        <v/>
      </c>
      <c r="E240" s="56" t="str">
        <f t="shared" si="23"/>
        <v/>
      </c>
      <c r="F240" s="65" t="str">
        <f t="shared" si="24"/>
        <v/>
      </c>
      <c r="G240" s="56" t="str">
        <f t="shared" si="25"/>
        <v/>
      </c>
      <c r="H240" s="66" t="str">
        <f t="shared" si="26"/>
        <v/>
      </c>
    </row>
    <row r="241" spans="1:9" x14ac:dyDescent="0.25">
      <c r="B241" s="29"/>
      <c r="C241" s="78" t="str">
        <f t="shared" si="21"/>
        <v/>
      </c>
      <c r="D241" s="63" t="str">
        <f t="shared" si="22"/>
        <v/>
      </c>
      <c r="E241" s="63" t="str">
        <f t="shared" si="23"/>
        <v/>
      </c>
      <c r="F241" s="68" t="str">
        <f t="shared" si="24"/>
        <v/>
      </c>
      <c r="G241" s="63" t="str">
        <f t="shared" si="25"/>
        <v/>
      </c>
      <c r="H241" s="69" t="str">
        <f t="shared" si="26"/>
        <v/>
      </c>
    </row>
    <row r="242" spans="1:9" x14ac:dyDescent="0.25">
      <c r="B242" s="29"/>
      <c r="C242" s="77" t="str">
        <f t="shared" si="21"/>
        <v/>
      </c>
      <c r="D242" s="56" t="str">
        <f t="shared" si="22"/>
        <v/>
      </c>
      <c r="E242" s="56" t="str">
        <f t="shared" si="23"/>
        <v/>
      </c>
      <c r="F242" s="65" t="str">
        <f t="shared" si="24"/>
        <v/>
      </c>
      <c r="G242" s="56" t="str">
        <f t="shared" si="25"/>
        <v/>
      </c>
      <c r="H242" s="66" t="str">
        <f t="shared" si="26"/>
        <v/>
      </c>
    </row>
    <row r="243" spans="1:9" x14ac:dyDescent="0.25">
      <c r="B243" s="29"/>
      <c r="C243" s="78" t="str">
        <f t="shared" si="21"/>
        <v/>
      </c>
      <c r="D243" s="63" t="str">
        <f t="shared" si="22"/>
        <v/>
      </c>
      <c r="E243" s="63" t="str">
        <f t="shared" si="23"/>
        <v/>
      </c>
      <c r="F243" s="68" t="str">
        <f t="shared" si="24"/>
        <v/>
      </c>
      <c r="G243" s="63" t="str">
        <f t="shared" si="25"/>
        <v/>
      </c>
      <c r="H243" s="69" t="str">
        <f t="shared" si="26"/>
        <v/>
      </c>
    </row>
    <row r="244" spans="1:9" x14ac:dyDescent="0.25">
      <c r="B244" s="29"/>
      <c r="C244" s="77" t="str">
        <f t="shared" si="21"/>
        <v/>
      </c>
      <c r="D244" s="56" t="str">
        <f t="shared" si="22"/>
        <v/>
      </c>
      <c r="E244" s="56" t="str">
        <f t="shared" si="23"/>
        <v/>
      </c>
      <c r="F244" s="65" t="str">
        <f t="shared" si="24"/>
        <v/>
      </c>
      <c r="G244" s="56" t="str">
        <f t="shared" si="25"/>
        <v/>
      </c>
      <c r="H244" s="66" t="str">
        <f t="shared" si="26"/>
        <v/>
      </c>
    </row>
    <row r="245" spans="1:9" x14ac:dyDescent="0.25">
      <c r="B245" s="29"/>
      <c r="C245" s="78" t="str">
        <f t="shared" si="21"/>
        <v/>
      </c>
      <c r="D245" s="63" t="str">
        <f t="shared" si="22"/>
        <v/>
      </c>
      <c r="E245" s="63" t="str">
        <f t="shared" si="23"/>
        <v/>
      </c>
      <c r="F245" s="68" t="str">
        <f t="shared" si="24"/>
        <v/>
      </c>
      <c r="G245" s="63" t="str">
        <f t="shared" si="25"/>
        <v/>
      </c>
      <c r="H245" s="69" t="str">
        <f t="shared" si="26"/>
        <v/>
      </c>
    </row>
    <row r="246" spans="1:9" x14ac:dyDescent="0.25">
      <c r="B246" s="29"/>
      <c r="C246" s="77" t="str">
        <f t="shared" si="21"/>
        <v/>
      </c>
      <c r="D246" s="56" t="str">
        <f t="shared" si="22"/>
        <v/>
      </c>
      <c r="E246" s="56" t="str">
        <f t="shared" si="23"/>
        <v/>
      </c>
      <c r="F246" s="65" t="str">
        <f t="shared" si="24"/>
        <v/>
      </c>
      <c r="G246" s="56" t="str">
        <f t="shared" si="25"/>
        <v/>
      </c>
      <c r="H246" s="66" t="str">
        <f t="shared" si="26"/>
        <v/>
      </c>
    </row>
    <row r="247" spans="1:9" x14ac:dyDescent="0.25">
      <c r="B247" s="29"/>
      <c r="C247" s="78" t="str">
        <f t="shared" si="21"/>
        <v/>
      </c>
      <c r="D247" s="63" t="str">
        <f t="shared" si="22"/>
        <v/>
      </c>
      <c r="E247" s="63" t="str">
        <f t="shared" si="23"/>
        <v/>
      </c>
      <c r="F247" s="68" t="str">
        <f t="shared" si="24"/>
        <v/>
      </c>
      <c r="G247" s="63" t="str">
        <f t="shared" si="25"/>
        <v/>
      </c>
      <c r="H247" s="69" t="str">
        <f t="shared" si="26"/>
        <v/>
      </c>
    </row>
    <row r="248" spans="1:9" x14ac:dyDescent="0.25">
      <c r="B248" s="29"/>
      <c r="C248" s="77" t="str">
        <f t="shared" si="21"/>
        <v/>
      </c>
      <c r="D248" s="56" t="str">
        <f t="shared" si="22"/>
        <v/>
      </c>
      <c r="E248" s="56" t="str">
        <f t="shared" si="23"/>
        <v/>
      </c>
      <c r="F248" s="65" t="str">
        <f t="shared" si="24"/>
        <v/>
      </c>
      <c r="G248" s="56" t="str">
        <f t="shared" si="25"/>
        <v/>
      </c>
      <c r="H248" s="66" t="str">
        <f t="shared" si="26"/>
        <v/>
      </c>
    </row>
    <row r="249" spans="1:9" x14ac:dyDescent="0.25">
      <c r="B249" s="29"/>
      <c r="C249" s="78" t="str">
        <f t="shared" si="21"/>
        <v/>
      </c>
      <c r="D249" s="63" t="str">
        <f t="shared" si="22"/>
        <v/>
      </c>
      <c r="E249" s="63" t="str">
        <f t="shared" si="23"/>
        <v/>
      </c>
      <c r="F249" s="68" t="str">
        <f t="shared" si="24"/>
        <v/>
      </c>
      <c r="G249" s="63" t="str">
        <f t="shared" si="25"/>
        <v/>
      </c>
      <c r="H249" s="69" t="str">
        <f t="shared" si="26"/>
        <v/>
      </c>
    </row>
    <row r="250" spans="1:9" x14ac:dyDescent="0.25">
      <c r="B250" s="29"/>
      <c r="C250" s="77" t="str">
        <f t="shared" si="21"/>
        <v/>
      </c>
      <c r="D250" s="56" t="str">
        <f t="shared" si="22"/>
        <v/>
      </c>
      <c r="E250" s="56" t="str">
        <f t="shared" si="23"/>
        <v/>
      </c>
      <c r="F250" s="65" t="str">
        <f t="shared" si="24"/>
        <v/>
      </c>
      <c r="G250" s="56" t="str">
        <f t="shared" si="25"/>
        <v/>
      </c>
      <c r="H250" s="66" t="str">
        <f t="shared" si="26"/>
        <v/>
      </c>
    </row>
    <row r="251" spans="1:9" x14ac:dyDescent="0.25">
      <c r="B251" s="29"/>
      <c r="C251" s="78" t="str">
        <f t="shared" si="21"/>
        <v/>
      </c>
      <c r="D251" s="63" t="str">
        <f t="shared" si="22"/>
        <v/>
      </c>
      <c r="E251" s="63" t="str">
        <f t="shared" si="23"/>
        <v/>
      </c>
      <c r="F251" s="68" t="str">
        <f t="shared" si="24"/>
        <v/>
      </c>
      <c r="G251" s="63" t="str">
        <f t="shared" si="25"/>
        <v/>
      </c>
      <c r="H251" s="69" t="str">
        <f t="shared" si="26"/>
        <v/>
      </c>
    </row>
    <row r="252" spans="1:9" x14ac:dyDescent="0.25">
      <c r="B252" s="29"/>
      <c r="C252" s="77" t="str">
        <f t="shared" si="21"/>
        <v/>
      </c>
      <c r="D252" s="56" t="str">
        <f t="shared" si="22"/>
        <v/>
      </c>
      <c r="E252" s="56" t="str">
        <f t="shared" si="23"/>
        <v/>
      </c>
      <c r="F252" s="65" t="str">
        <f t="shared" si="24"/>
        <v/>
      </c>
      <c r="G252" s="56" t="str">
        <f t="shared" si="25"/>
        <v/>
      </c>
      <c r="H252" s="66" t="str">
        <f t="shared" si="26"/>
        <v/>
      </c>
    </row>
    <row r="253" spans="1:9" x14ac:dyDescent="0.25">
      <c r="B253" s="29"/>
      <c r="C253" s="78" t="str">
        <f t="shared" si="21"/>
        <v/>
      </c>
      <c r="D253" s="63" t="str">
        <f t="shared" si="22"/>
        <v/>
      </c>
      <c r="E253" s="63" t="str">
        <f t="shared" si="23"/>
        <v/>
      </c>
      <c r="F253" s="68" t="str">
        <f t="shared" si="24"/>
        <v/>
      </c>
      <c r="G253" s="63" t="str">
        <f t="shared" si="25"/>
        <v/>
      </c>
      <c r="H253" s="69" t="str">
        <f t="shared" si="26"/>
        <v/>
      </c>
    </row>
    <row r="254" spans="1:9" ht="29.1" customHeight="1" x14ac:dyDescent="0.25">
      <c r="A254" s="197" t="s">
        <v>295</v>
      </c>
      <c r="B254" s="173"/>
      <c r="C254" s="173"/>
      <c r="D254" s="173"/>
      <c r="E254" s="173"/>
      <c r="F254" s="173"/>
      <c r="G254" s="173"/>
      <c r="H254" s="173"/>
      <c r="I254" s="173"/>
    </row>
    <row r="255" spans="1:9" x14ac:dyDescent="0.25">
      <c r="A255" s="190" t="s">
        <v>112</v>
      </c>
      <c r="B255" s="191"/>
      <c r="C255" s="30">
        <f>SUMPRODUCT(--('9. Payroll Allocation'!$B$234:$B$253&lt;&gt;""))</f>
        <v>0</v>
      </c>
    </row>
    <row r="256" spans="1:9" x14ac:dyDescent="0.25">
      <c r="A256" s="190" t="s">
        <v>113</v>
      </c>
      <c r="B256" s="191"/>
      <c r="C256" s="30">
        <v>20</v>
      </c>
    </row>
    <row r="257" spans="1:9" x14ac:dyDescent="0.25">
      <c r="A257" s="190" t="s">
        <v>114</v>
      </c>
      <c r="B257" s="191"/>
      <c r="C257" s="30">
        <f>MAX(0,20-$C$255)</f>
        <v>20</v>
      </c>
    </row>
    <row r="258" spans="1:9" x14ac:dyDescent="0.25">
      <c r="A258" s="194" t="s">
        <v>115</v>
      </c>
      <c r="B258" s="191"/>
      <c r="C258" s="31" t="str">
        <f>IF($C$257&lt;=0,"FULL - no more rows can be entered",IF($C$257&lt;=3,"NEARLY FULL - contact Powell United","OK"))</f>
        <v>OK</v>
      </c>
      <c r="D258" s="193" t="s">
        <v>296</v>
      </c>
      <c r="E258" s="173"/>
      <c r="F258" s="173"/>
      <c r="G258" s="173"/>
      <c r="H258" s="173"/>
      <c r="I258" s="173"/>
    </row>
    <row r="259" spans="1:9" ht="8.1" customHeight="1" x14ac:dyDescent="0.25"/>
    <row r="260" spans="1:9" x14ac:dyDescent="0.25">
      <c r="B260" s="51" t="s">
        <v>230</v>
      </c>
      <c r="D260" s="71">
        <f>SUMIFS($D$234:$D$253,$C$234:$C$253,"&gt;="&amp;Yr_Start,$C$234:$C$253,"&lt;="&amp;Yr_End)</f>
        <v>0</v>
      </c>
      <c r="E260" s="71">
        <f>SUMIFS($E$234:$E$253,$C$234:$C$253,"&gt;="&amp;Yr_Start,$C$234:$C$253,"&lt;="&amp;Yr_End)</f>
        <v>0</v>
      </c>
      <c r="G260" s="71">
        <f>SUMIFS($G$234:$G$253,$C$234:$C$253,"&gt;="&amp;Yr_Start,$C$234:$C$253,"&lt;="&amp;Yr_End)</f>
        <v>0</v>
      </c>
    </row>
    <row r="261" spans="1:9" ht="8.1" customHeight="1" x14ac:dyDescent="0.25"/>
    <row r="262" spans="1:9" x14ac:dyDescent="0.25">
      <c r="B262" s="220" t="s">
        <v>297</v>
      </c>
      <c r="C262" s="173"/>
      <c r="D262" s="71">
        <f>ROUND(SUMIFS($E$8:$E$207,$D$8:$D$207,"Owner / shareholder gross wages",$C$8:$C$207,"&gt;="&amp;Yr_Start,$C$8:$C$207,"&lt;="&amp;Yr_End),2)</f>
        <v>0</v>
      </c>
      <c r="E262" s="218" t="s">
        <v>298</v>
      </c>
      <c r="F262" s="173"/>
      <c r="G262" s="173"/>
      <c r="H262" s="173"/>
      <c r="I262" s="173"/>
    </row>
    <row r="263" spans="1:9" x14ac:dyDescent="0.25">
      <c r="B263" s="220" t="s">
        <v>299</v>
      </c>
      <c r="C263" s="173"/>
      <c r="D263" s="71">
        <f>ROUND(SUMIFS($E$8:$E$207,$D$8:$D$207,"Owner / shareholder employer taxes",$C$8:$C$207,"&gt;="&amp;Yr_Start,$C$8:$C$207,"&lt;="&amp;Yr_End),2)</f>
        <v>0</v>
      </c>
      <c r="E263" s="173"/>
      <c r="F263" s="173"/>
      <c r="G263" s="173"/>
      <c r="H263" s="173"/>
      <c r="I263" s="173"/>
    </row>
    <row r="264" spans="1:9" ht="8.1" customHeight="1" x14ac:dyDescent="0.25"/>
    <row r="265" spans="1:9" ht="15.6" customHeight="1" x14ac:dyDescent="0.25">
      <c r="A265" s="187" t="s">
        <v>69</v>
      </c>
      <c r="B265" s="173"/>
      <c r="C265" s="173"/>
      <c r="D265" s="173"/>
      <c r="E265" s="173"/>
      <c r="F265" s="173"/>
      <c r="G265" s="173"/>
      <c r="H265" s="173"/>
      <c r="I265" s="173"/>
    </row>
  </sheetData>
  <sheetProtection sheet="1" formatCells="0" formatColumns="0" formatRows="0" insertRows="0" deleteRows="0"/>
  <autoFilter ref="B7:I207" xr:uid="{00000000-0009-0000-0000-000008000000}"/>
  <mergeCells count="39">
    <mergeCell ref="A209:B209"/>
    <mergeCell ref="A216:I216"/>
    <mergeCell ref="A214:I214"/>
    <mergeCell ref="E219:I219"/>
    <mergeCell ref="E229:I229"/>
    <mergeCell ref="A210:B210"/>
    <mergeCell ref="B217:I217"/>
    <mergeCell ref="A2:I2"/>
    <mergeCell ref="D212:I212"/>
    <mergeCell ref="B262:C262"/>
    <mergeCell ref="A5:I5"/>
    <mergeCell ref="A212:B212"/>
    <mergeCell ref="A254:I254"/>
    <mergeCell ref="D258:I258"/>
    <mergeCell ref="E221:I221"/>
    <mergeCell ref="A255:B255"/>
    <mergeCell ref="E230:I230"/>
    <mergeCell ref="E220:I220"/>
    <mergeCell ref="A4:I4"/>
    <mergeCell ref="E223:I223"/>
    <mergeCell ref="A257:B257"/>
    <mergeCell ref="A208:I208"/>
    <mergeCell ref="A3:I3"/>
    <mergeCell ref="A1:I1"/>
    <mergeCell ref="A258:B258"/>
    <mergeCell ref="A6:I6"/>
    <mergeCell ref="A211:B211"/>
    <mergeCell ref="A265:I265"/>
    <mergeCell ref="E226:I226"/>
    <mergeCell ref="E222:I222"/>
    <mergeCell ref="E262:I263"/>
    <mergeCell ref="E225:I225"/>
    <mergeCell ref="E228:I228"/>
    <mergeCell ref="A232:I232"/>
    <mergeCell ref="E227:I227"/>
    <mergeCell ref="B263:C263"/>
    <mergeCell ref="E224:I224"/>
    <mergeCell ref="A213:I213"/>
    <mergeCell ref="A256:B256"/>
  </mergeCells>
  <conditionalFormatting sqref="C212">
    <cfRule type="cellIs" dxfId="35" priority="1" operator="equal">
      <formula>"FULL - no more rows can be entered"</formula>
    </cfRule>
    <cfRule type="cellIs" dxfId="34" priority="2" operator="equal">
      <formula>"NEARLY FULL - contact Powell United"</formula>
    </cfRule>
    <cfRule type="cellIs" dxfId="33" priority="3" operator="equal">
      <formula>"OK"</formula>
    </cfRule>
  </conditionalFormatting>
  <conditionalFormatting sqref="C258">
    <cfRule type="cellIs" dxfId="32" priority="10" operator="equal">
      <formula>"FULL - no more rows can be entered"</formula>
    </cfRule>
    <cfRule type="cellIs" dxfId="31" priority="11" operator="equal">
      <formula>"NEARLY FULL - contact Powell United"</formula>
    </cfRule>
    <cfRule type="cellIs" dxfId="30" priority="12" operator="equal">
      <formula>"OK"</formula>
    </cfRule>
  </conditionalFormatting>
  <conditionalFormatting sqref="H234:H253">
    <cfRule type="cellIs" dxfId="29" priority="4" operator="equal">
      <formula>"Tied out"</formula>
    </cfRule>
    <cfRule type="cellIs" dxfId="28" priority="5" operator="equal">
      <formula>"CHECK PAYROLL ALLOCATION"</formula>
    </cfRule>
    <cfRule type="cellIs" dxfId="27" priority="6" operator="equal">
      <formula>"NO LINKED WITHDRAWAL"</formula>
    </cfRule>
    <cfRule type="cellIs" dxfId="26" priority="7" operator="equal">
      <formula>"NO COMPONENTS FOR THIS PAY RUN"</formula>
    </cfRule>
    <cfRule type="cellIs" dxfId="25" priority="8" operator="equal">
      <formula>"NO PAY DATE ON THE COMPONENTS"</formula>
    </cfRule>
    <cfRule type="cellIs" dxfId="24" priority="9" operator="equal">
      <formula>"UNKNOWN COMPONENT - SEE COLUMN D"</formula>
    </cfRule>
  </conditionalFormatting>
  <dataValidations count="4">
    <dataValidation type="list" allowBlank="1" showInputMessage="1" promptTitle="Pay run" prompt="Choose a pay run. The IDs come from the pay dates you entered above." sqref="B209:B228" xr:uid="{00000000-0002-0000-0800-000000000000}">
      <formula1>Pay_Run</formula1>
    </dataValidation>
    <dataValidation type="list" allowBlank="1" showInputMessage="1" promptTitle="Component" prompt="Pick a component. Whether it counts as cash and whether it is an operating expense are set automatically." sqref="D8:D207" xr:uid="{00000000-0002-0000-0800-000001000000}">
      <formula1>Pay_Comp</formula1>
    </dataValidation>
    <dataValidation type="decimal" operator="greaterThanOrEqual" allowBlank="1" showErrorMessage="1" errorTitle="Amount must be zero or positive" error="Enter a positive number. Money In and Money Out are separate columns, so amounts are never negative." sqref="E8:E207" xr:uid="{00000000-0002-0000-0800-000002000000}">
      <formula1>0</formula1>
    </dataValidation>
    <dataValidation type="date" allowBlank="1" showErrorMessage="1" errorTitle="Enter a real date" error="Use a date, for example 03/14/2026." sqref="C8:C207" xr:uid="{00000000-0002-0000-0800-000003000000}">
      <formula1>DATE(2000,1,1)</formula1>
      <formula2>DATE(2100,12,31)</formula2>
    </dataValidation>
  </dataValidation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J319"/>
  <sheetViews>
    <sheetView showGridLines="0" workbookViewId="0">
      <pane ySplit="7" topLeftCell="A8" activePane="bottomLeft" state="frozen"/>
      <selection pane="bottomLeft"/>
    </sheetView>
  </sheetViews>
  <sheetFormatPr defaultRowHeight="15" x14ac:dyDescent="0.25"/>
  <cols>
    <col min="1" max="1" width="3" customWidth="1"/>
    <col min="2" max="2" width="11" customWidth="1"/>
    <col min="3" max="3" width="44" customWidth="1"/>
    <col min="4" max="5" width="24" customWidth="1"/>
    <col min="6" max="6" width="10" customWidth="1"/>
    <col min="7" max="7" width="13" customWidth="1"/>
    <col min="8" max="8" width="16" customWidth="1"/>
    <col min="9" max="9" width="20" customWidth="1"/>
    <col min="10" max="10" width="30" customWidth="1"/>
  </cols>
  <sheetData>
    <row r="1" spans="1:10" ht="27.95" customHeight="1" x14ac:dyDescent="0.25">
      <c r="A1" s="174" t="s">
        <v>300</v>
      </c>
      <c r="B1" s="173"/>
      <c r="C1" s="173"/>
      <c r="D1" s="173"/>
      <c r="E1" s="173"/>
      <c r="F1" s="173"/>
      <c r="G1" s="173"/>
      <c r="H1" s="173"/>
      <c r="I1" s="173"/>
      <c r="J1" s="173"/>
    </row>
    <row r="2" spans="1:10" ht="17.100000000000001" customHeight="1" x14ac:dyDescent="0.25">
      <c r="A2" s="188" t="s">
        <v>301</v>
      </c>
      <c r="B2" s="173"/>
      <c r="C2" s="173"/>
      <c r="D2" s="173"/>
      <c r="E2" s="173"/>
      <c r="F2" s="173"/>
      <c r="G2" s="173"/>
      <c r="H2" s="173"/>
      <c r="I2" s="173"/>
      <c r="J2" s="173"/>
    </row>
    <row r="3" spans="1:10" ht="14.1" customHeight="1" x14ac:dyDescent="0.25">
      <c r="A3" s="179" t="s">
        <v>2</v>
      </c>
      <c r="B3" s="173"/>
      <c r="C3" s="173"/>
      <c r="D3" s="173"/>
      <c r="E3" s="173"/>
      <c r="F3" s="173"/>
      <c r="G3" s="173"/>
      <c r="H3" s="173"/>
      <c r="I3" s="173"/>
      <c r="J3" s="173"/>
    </row>
    <row r="4" spans="1:10" ht="8.1" customHeight="1" x14ac:dyDescent="0.25"/>
    <row r="5" spans="1:10" ht="30.6" customHeight="1" x14ac:dyDescent="0.25">
      <c r="A5" s="192" t="s">
        <v>302</v>
      </c>
      <c r="B5" s="173"/>
      <c r="C5" s="173"/>
      <c r="D5" s="173"/>
      <c r="E5" s="173"/>
      <c r="F5" s="173"/>
      <c r="G5" s="173"/>
      <c r="H5" s="173"/>
      <c r="I5" s="173"/>
      <c r="J5" s="173"/>
    </row>
    <row r="6" spans="1:10" ht="8.1" customHeight="1" x14ac:dyDescent="0.25"/>
    <row r="7" spans="1:10" ht="30" customHeight="1" x14ac:dyDescent="0.25">
      <c r="A7" s="27"/>
      <c r="B7" s="27" t="s">
        <v>159</v>
      </c>
      <c r="C7" s="27" t="s">
        <v>303</v>
      </c>
      <c r="D7" s="27" t="s">
        <v>304</v>
      </c>
      <c r="E7" s="27" t="s">
        <v>305</v>
      </c>
      <c r="F7" s="27" t="s">
        <v>306</v>
      </c>
      <c r="G7" s="27" t="s">
        <v>307</v>
      </c>
      <c r="H7" s="27" t="s">
        <v>308</v>
      </c>
      <c r="I7" s="27" t="s">
        <v>309</v>
      </c>
      <c r="J7" s="27" t="s">
        <v>204</v>
      </c>
    </row>
    <row r="8" spans="1:10" x14ac:dyDescent="0.25">
      <c r="B8" s="37"/>
      <c r="C8" s="28"/>
      <c r="D8" s="28"/>
      <c r="E8" s="28"/>
      <c r="F8" s="79"/>
      <c r="G8" s="80" t="str">
        <f t="shared" ref="G8:G71" si="0">IF($B8="","",IFERROR(INDEX(TR_Value,MATCH(1,INDEX((ISNUMBER(SEARCH("mileage_business",TR_Id)))*(TR_From&lt;=$B8)*(TR_To&gt;=$B8),0),0)),"NO RATE"))</f>
        <v/>
      </c>
      <c r="H8" s="65" t="str">
        <f t="shared" ref="H8:H71" si="1">IF(OR($B8="",N($F8)=0),"",IF(NOT(ISNUMBER($G8)),"REVIEW - no 2026 rate for this date",ROUND($F8*$G8,2)))</f>
        <v/>
      </c>
      <c r="I8" s="52" t="str">
        <f t="shared" ref="I8:I71" si="2">IF($B8="","",IFERROR(INDEX(TR_Id,MATCH(1,INDEX((ISNUMBER(SEARCH("mileage_business",TR_Id)))*(TR_From&lt;=$B8)*(TR_To&gt;=$B8),0),0)),"outside 2026"))</f>
        <v/>
      </c>
      <c r="J8" s="40"/>
    </row>
    <row r="9" spans="1:10" x14ac:dyDescent="0.25">
      <c r="B9" s="37"/>
      <c r="C9" s="28"/>
      <c r="D9" s="28"/>
      <c r="E9" s="28"/>
      <c r="F9" s="79"/>
      <c r="G9" s="81" t="str">
        <f t="shared" si="0"/>
        <v/>
      </c>
      <c r="H9" s="68" t="str">
        <f t="shared" si="1"/>
        <v/>
      </c>
      <c r="I9" s="60" t="str">
        <f t="shared" si="2"/>
        <v/>
      </c>
      <c r="J9" s="40"/>
    </row>
    <row r="10" spans="1:10" x14ac:dyDescent="0.25">
      <c r="B10" s="37"/>
      <c r="C10" s="28"/>
      <c r="D10" s="28"/>
      <c r="E10" s="28"/>
      <c r="F10" s="79"/>
      <c r="G10" s="80" t="str">
        <f t="shared" si="0"/>
        <v/>
      </c>
      <c r="H10" s="65" t="str">
        <f t="shared" si="1"/>
        <v/>
      </c>
      <c r="I10" s="52" t="str">
        <f t="shared" si="2"/>
        <v/>
      </c>
      <c r="J10" s="40"/>
    </row>
    <row r="11" spans="1:10" x14ac:dyDescent="0.25">
      <c r="B11" s="37"/>
      <c r="C11" s="28"/>
      <c r="D11" s="28"/>
      <c r="E11" s="28"/>
      <c r="F11" s="79"/>
      <c r="G11" s="81" t="str">
        <f t="shared" si="0"/>
        <v/>
      </c>
      <c r="H11" s="68" t="str">
        <f t="shared" si="1"/>
        <v/>
      </c>
      <c r="I11" s="60" t="str">
        <f t="shared" si="2"/>
        <v/>
      </c>
      <c r="J11" s="40"/>
    </row>
    <row r="12" spans="1:10" x14ac:dyDescent="0.25">
      <c r="B12" s="37"/>
      <c r="C12" s="28"/>
      <c r="D12" s="28"/>
      <c r="E12" s="28"/>
      <c r="F12" s="79"/>
      <c r="G12" s="80" t="str">
        <f t="shared" si="0"/>
        <v/>
      </c>
      <c r="H12" s="65" t="str">
        <f t="shared" si="1"/>
        <v/>
      </c>
      <c r="I12" s="52" t="str">
        <f t="shared" si="2"/>
        <v/>
      </c>
      <c r="J12" s="40"/>
    </row>
    <row r="13" spans="1:10" x14ac:dyDescent="0.25">
      <c r="B13" s="37"/>
      <c r="C13" s="28"/>
      <c r="D13" s="28"/>
      <c r="E13" s="28"/>
      <c r="F13" s="79"/>
      <c r="G13" s="81" t="str">
        <f t="shared" si="0"/>
        <v/>
      </c>
      <c r="H13" s="68" t="str">
        <f t="shared" si="1"/>
        <v/>
      </c>
      <c r="I13" s="60" t="str">
        <f t="shared" si="2"/>
        <v/>
      </c>
      <c r="J13" s="40"/>
    </row>
    <row r="14" spans="1:10" x14ac:dyDescent="0.25">
      <c r="B14" s="37"/>
      <c r="C14" s="28"/>
      <c r="D14" s="28"/>
      <c r="E14" s="28"/>
      <c r="F14" s="79"/>
      <c r="G14" s="80" t="str">
        <f t="shared" si="0"/>
        <v/>
      </c>
      <c r="H14" s="65" t="str">
        <f t="shared" si="1"/>
        <v/>
      </c>
      <c r="I14" s="52" t="str">
        <f t="shared" si="2"/>
        <v/>
      </c>
      <c r="J14" s="40"/>
    </row>
    <row r="15" spans="1:10" x14ac:dyDescent="0.25">
      <c r="B15" s="37"/>
      <c r="C15" s="28"/>
      <c r="D15" s="28"/>
      <c r="E15" s="28"/>
      <c r="F15" s="79"/>
      <c r="G15" s="81" t="str">
        <f t="shared" si="0"/>
        <v/>
      </c>
      <c r="H15" s="68" t="str">
        <f t="shared" si="1"/>
        <v/>
      </c>
      <c r="I15" s="60" t="str">
        <f t="shared" si="2"/>
        <v/>
      </c>
      <c r="J15" s="40"/>
    </row>
    <row r="16" spans="1:10" x14ac:dyDescent="0.25">
      <c r="B16" s="37"/>
      <c r="C16" s="28"/>
      <c r="D16" s="28"/>
      <c r="E16" s="28"/>
      <c r="F16" s="79"/>
      <c r="G16" s="80" t="str">
        <f t="shared" si="0"/>
        <v/>
      </c>
      <c r="H16" s="65" t="str">
        <f t="shared" si="1"/>
        <v/>
      </c>
      <c r="I16" s="52" t="str">
        <f t="shared" si="2"/>
        <v/>
      </c>
      <c r="J16" s="40"/>
    </row>
    <row r="17" spans="2:10" x14ac:dyDescent="0.25">
      <c r="B17" s="37"/>
      <c r="C17" s="28"/>
      <c r="D17" s="28"/>
      <c r="E17" s="28"/>
      <c r="F17" s="79"/>
      <c r="G17" s="81" t="str">
        <f t="shared" si="0"/>
        <v/>
      </c>
      <c r="H17" s="68" t="str">
        <f t="shared" si="1"/>
        <v/>
      </c>
      <c r="I17" s="60" t="str">
        <f t="shared" si="2"/>
        <v/>
      </c>
      <c r="J17" s="40"/>
    </row>
    <row r="18" spans="2:10" x14ac:dyDescent="0.25">
      <c r="B18" s="37"/>
      <c r="C18" s="28"/>
      <c r="D18" s="28"/>
      <c r="E18" s="28"/>
      <c r="F18" s="79"/>
      <c r="G18" s="80" t="str">
        <f t="shared" si="0"/>
        <v/>
      </c>
      <c r="H18" s="65" t="str">
        <f t="shared" si="1"/>
        <v/>
      </c>
      <c r="I18" s="52" t="str">
        <f t="shared" si="2"/>
        <v/>
      </c>
      <c r="J18" s="40"/>
    </row>
    <row r="19" spans="2:10" x14ac:dyDescent="0.25">
      <c r="B19" s="37"/>
      <c r="C19" s="28"/>
      <c r="D19" s="28"/>
      <c r="E19" s="28"/>
      <c r="F19" s="79"/>
      <c r="G19" s="81" t="str">
        <f t="shared" si="0"/>
        <v/>
      </c>
      <c r="H19" s="68" t="str">
        <f t="shared" si="1"/>
        <v/>
      </c>
      <c r="I19" s="60" t="str">
        <f t="shared" si="2"/>
        <v/>
      </c>
      <c r="J19" s="40"/>
    </row>
    <row r="20" spans="2:10" x14ac:dyDescent="0.25">
      <c r="B20" s="37"/>
      <c r="C20" s="28"/>
      <c r="D20" s="28"/>
      <c r="E20" s="28"/>
      <c r="F20" s="79"/>
      <c r="G20" s="80" t="str">
        <f t="shared" si="0"/>
        <v/>
      </c>
      <c r="H20" s="65" t="str">
        <f t="shared" si="1"/>
        <v/>
      </c>
      <c r="I20" s="52" t="str">
        <f t="shared" si="2"/>
        <v/>
      </c>
      <c r="J20" s="40"/>
    </row>
    <row r="21" spans="2:10" x14ac:dyDescent="0.25">
      <c r="B21" s="37"/>
      <c r="C21" s="28"/>
      <c r="D21" s="28"/>
      <c r="E21" s="28"/>
      <c r="F21" s="79"/>
      <c r="G21" s="81" t="str">
        <f t="shared" si="0"/>
        <v/>
      </c>
      <c r="H21" s="68" t="str">
        <f t="shared" si="1"/>
        <v/>
      </c>
      <c r="I21" s="60" t="str">
        <f t="shared" si="2"/>
        <v/>
      </c>
      <c r="J21" s="40"/>
    </row>
    <row r="22" spans="2:10" x14ac:dyDescent="0.25">
      <c r="B22" s="37"/>
      <c r="C22" s="28"/>
      <c r="D22" s="28"/>
      <c r="E22" s="28"/>
      <c r="F22" s="79"/>
      <c r="G22" s="80" t="str">
        <f t="shared" si="0"/>
        <v/>
      </c>
      <c r="H22" s="65" t="str">
        <f t="shared" si="1"/>
        <v/>
      </c>
      <c r="I22" s="52" t="str">
        <f t="shared" si="2"/>
        <v/>
      </c>
      <c r="J22" s="40"/>
    </row>
    <row r="23" spans="2:10" x14ac:dyDescent="0.25">
      <c r="B23" s="37"/>
      <c r="C23" s="28"/>
      <c r="D23" s="28"/>
      <c r="E23" s="28"/>
      <c r="F23" s="79"/>
      <c r="G23" s="81" t="str">
        <f t="shared" si="0"/>
        <v/>
      </c>
      <c r="H23" s="68" t="str">
        <f t="shared" si="1"/>
        <v/>
      </c>
      <c r="I23" s="60" t="str">
        <f t="shared" si="2"/>
        <v/>
      </c>
      <c r="J23" s="40"/>
    </row>
    <row r="24" spans="2:10" x14ac:dyDescent="0.25">
      <c r="B24" s="37"/>
      <c r="C24" s="28"/>
      <c r="D24" s="28"/>
      <c r="E24" s="28"/>
      <c r="F24" s="79"/>
      <c r="G24" s="80" t="str">
        <f t="shared" si="0"/>
        <v/>
      </c>
      <c r="H24" s="65" t="str">
        <f t="shared" si="1"/>
        <v/>
      </c>
      <c r="I24" s="52" t="str">
        <f t="shared" si="2"/>
        <v/>
      </c>
      <c r="J24" s="40"/>
    </row>
    <row r="25" spans="2:10" x14ac:dyDescent="0.25">
      <c r="B25" s="37"/>
      <c r="C25" s="28"/>
      <c r="D25" s="28"/>
      <c r="E25" s="28"/>
      <c r="F25" s="79"/>
      <c r="G25" s="81" t="str">
        <f t="shared" si="0"/>
        <v/>
      </c>
      <c r="H25" s="68" t="str">
        <f t="shared" si="1"/>
        <v/>
      </c>
      <c r="I25" s="60" t="str">
        <f t="shared" si="2"/>
        <v/>
      </c>
      <c r="J25" s="40"/>
    </row>
    <row r="26" spans="2:10" x14ac:dyDescent="0.25">
      <c r="B26" s="37"/>
      <c r="C26" s="28"/>
      <c r="D26" s="28"/>
      <c r="E26" s="28"/>
      <c r="F26" s="79"/>
      <c r="G26" s="80" t="str">
        <f t="shared" si="0"/>
        <v/>
      </c>
      <c r="H26" s="65" t="str">
        <f t="shared" si="1"/>
        <v/>
      </c>
      <c r="I26" s="52" t="str">
        <f t="shared" si="2"/>
        <v/>
      </c>
      <c r="J26" s="40"/>
    </row>
    <row r="27" spans="2:10" x14ac:dyDescent="0.25">
      <c r="B27" s="37"/>
      <c r="C27" s="28"/>
      <c r="D27" s="28"/>
      <c r="E27" s="28"/>
      <c r="F27" s="79"/>
      <c r="G27" s="81" t="str">
        <f t="shared" si="0"/>
        <v/>
      </c>
      <c r="H27" s="68" t="str">
        <f t="shared" si="1"/>
        <v/>
      </c>
      <c r="I27" s="60" t="str">
        <f t="shared" si="2"/>
        <v/>
      </c>
      <c r="J27" s="40"/>
    </row>
    <row r="28" spans="2:10" x14ac:dyDescent="0.25">
      <c r="B28" s="37"/>
      <c r="C28" s="28"/>
      <c r="D28" s="28"/>
      <c r="E28" s="28"/>
      <c r="F28" s="79"/>
      <c r="G28" s="80" t="str">
        <f t="shared" si="0"/>
        <v/>
      </c>
      <c r="H28" s="65" t="str">
        <f t="shared" si="1"/>
        <v/>
      </c>
      <c r="I28" s="52" t="str">
        <f t="shared" si="2"/>
        <v/>
      </c>
      <c r="J28" s="40"/>
    </row>
    <row r="29" spans="2:10" x14ac:dyDescent="0.25">
      <c r="B29" s="37"/>
      <c r="C29" s="28"/>
      <c r="D29" s="28"/>
      <c r="E29" s="28"/>
      <c r="F29" s="79"/>
      <c r="G29" s="81" t="str">
        <f t="shared" si="0"/>
        <v/>
      </c>
      <c r="H29" s="68" t="str">
        <f t="shared" si="1"/>
        <v/>
      </c>
      <c r="I29" s="60" t="str">
        <f t="shared" si="2"/>
        <v/>
      </c>
      <c r="J29" s="40"/>
    </row>
    <row r="30" spans="2:10" x14ac:dyDescent="0.25">
      <c r="B30" s="37"/>
      <c r="C30" s="28"/>
      <c r="D30" s="28"/>
      <c r="E30" s="28"/>
      <c r="F30" s="79"/>
      <c r="G30" s="80" t="str">
        <f t="shared" si="0"/>
        <v/>
      </c>
      <c r="H30" s="65" t="str">
        <f t="shared" si="1"/>
        <v/>
      </c>
      <c r="I30" s="52" t="str">
        <f t="shared" si="2"/>
        <v/>
      </c>
      <c r="J30" s="40"/>
    </row>
    <row r="31" spans="2:10" x14ac:dyDescent="0.25">
      <c r="B31" s="37"/>
      <c r="C31" s="28"/>
      <c r="D31" s="28"/>
      <c r="E31" s="28"/>
      <c r="F31" s="79"/>
      <c r="G31" s="81" t="str">
        <f t="shared" si="0"/>
        <v/>
      </c>
      <c r="H31" s="68" t="str">
        <f t="shared" si="1"/>
        <v/>
      </c>
      <c r="I31" s="60" t="str">
        <f t="shared" si="2"/>
        <v/>
      </c>
      <c r="J31" s="40"/>
    </row>
    <row r="32" spans="2:10" x14ac:dyDescent="0.25">
      <c r="B32" s="37"/>
      <c r="C32" s="28"/>
      <c r="D32" s="28"/>
      <c r="E32" s="28"/>
      <c r="F32" s="79"/>
      <c r="G32" s="80" t="str">
        <f t="shared" si="0"/>
        <v/>
      </c>
      <c r="H32" s="65" t="str">
        <f t="shared" si="1"/>
        <v/>
      </c>
      <c r="I32" s="52" t="str">
        <f t="shared" si="2"/>
        <v/>
      </c>
      <c r="J32" s="40"/>
    </row>
    <row r="33" spans="2:10" x14ac:dyDescent="0.25">
      <c r="B33" s="37"/>
      <c r="C33" s="28"/>
      <c r="D33" s="28"/>
      <c r="E33" s="28"/>
      <c r="F33" s="79"/>
      <c r="G33" s="81" t="str">
        <f t="shared" si="0"/>
        <v/>
      </c>
      <c r="H33" s="68" t="str">
        <f t="shared" si="1"/>
        <v/>
      </c>
      <c r="I33" s="60" t="str">
        <f t="shared" si="2"/>
        <v/>
      </c>
      <c r="J33" s="40"/>
    </row>
    <row r="34" spans="2:10" x14ac:dyDescent="0.25">
      <c r="B34" s="37"/>
      <c r="C34" s="28"/>
      <c r="D34" s="28"/>
      <c r="E34" s="28"/>
      <c r="F34" s="79"/>
      <c r="G34" s="80" t="str">
        <f t="shared" si="0"/>
        <v/>
      </c>
      <c r="H34" s="65" t="str">
        <f t="shared" si="1"/>
        <v/>
      </c>
      <c r="I34" s="52" t="str">
        <f t="shared" si="2"/>
        <v/>
      </c>
      <c r="J34" s="40"/>
    </row>
    <row r="35" spans="2:10" x14ac:dyDescent="0.25">
      <c r="B35" s="37"/>
      <c r="C35" s="28"/>
      <c r="D35" s="28"/>
      <c r="E35" s="28"/>
      <c r="F35" s="79"/>
      <c r="G35" s="81" t="str">
        <f t="shared" si="0"/>
        <v/>
      </c>
      <c r="H35" s="68" t="str">
        <f t="shared" si="1"/>
        <v/>
      </c>
      <c r="I35" s="60" t="str">
        <f t="shared" si="2"/>
        <v/>
      </c>
      <c r="J35" s="40"/>
    </row>
    <row r="36" spans="2:10" x14ac:dyDescent="0.25">
      <c r="B36" s="37"/>
      <c r="C36" s="28"/>
      <c r="D36" s="28"/>
      <c r="E36" s="28"/>
      <c r="F36" s="79"/>
      <c r="G36" s="80" t="str">
        <f t="shared" si="0"/>
        <v/>
      </c>
      <c r="H36" s="65" t="str">
        <f t="shared" si="1"/>
        <v/>
      </c>
      <c r="I36" s="52" t="str">
        <f t="shared" si="2"/>
        <v/>
      </c>
      <c r="J36" s="40"/>
    </row>
    <row r="37" spans="2:10" x14ac:dyDescent="0.25">
      <c r="B37" s="37"/>
      <c r="C37" s="28"/>
      <c r="D37" s="28"/>
      <c r="E37" s="28"/>
      <c r="F37" s="79"/>
      <c r="G37" s="81" t="str">
        <f t="shared" si="0"/>
        <v/>
      </c>
      <c r="H37" s="68" t="str">
        <f t="shared" si="1"/>
        <v/>
      </c>
      <c r="I37" s="60" t="str">
        <f t="shared" si="2"/>
        <v/>
      </c>
      <c r="J37" s="40"/>
    </row>
    <row r="38" spans="2:10" x14ac:dyDescent="0.25">
      <c r="B38" s="37"/>
      <c r="C38" s="28"/>
      <c r="D38" s="28"/>
      <c r="E38" s="28"/>
      <c r="F38" s="79"/>
      <c r="G38" s="80" t="str">
        <f t="shared" si="0"/>
        <v/>
      </c>
      <c r="H38" s="65" t="str">
        <f t="shared" si="1"/>
        <v/>
      </c>
      <c r="I38" s="52" t="str">
        <f t="shared" si="2"/>
        <v/>
      </c>
      <c r="J38" s="40"/>
    </row>
    <row r="39" spans="2:10" x14ac:dyDescent="0.25">
      <c r="B39" s="37"/>
      <c r="C39" s="28"/>
      <c r="D39" s="28"/>
      <c r="E39" s="28"/>
      <c r="F39" s="79"/>
      <c r="G39" s="81" t="str">
        <f t="shared" si="0"/>
        <v/>
      </c>
      <c r="H39" s="68" t="str">
        <f t="shared" si="1"/>
        <v/>
      </c>
      <c r="I39" s="60" t="str">
        <f t="shared" si="2"/>
        <v/>
      </c>
      <c r="J39" s="40"/>
    </row>
    <row r="40" spans="2:10" x14ac:dyDescent="0.25">
      <c r="B40" s="37"/>
      <c r="C40" s="28"/>
      <c r="D40" s="28"/>
      <c r="E40" s="28"/>
      <c r="F40" s="79"/>
      <c r="G40" s="80" t="str">
        <f t="shared" si="0"/>
        <v/>
      </c>
      <c r="H40" s="65" t="str">
        <f t="shared" si="1"/>
        <v/>
      </c>
      <c r="I40" s="52" t="str">
        <f t="shared" si="2"/>
        <v/>
      </c>
      <c r="J40" s="40"/>
    </row>
    <row r="41" spans="2:10" x14ac:dyDescent="0.25">
      <c r="B41" s="37"/>
      <c r="C41" s="28"/>
      <c r="D41" s="28"/>
      <c r="E41" s="28"/>
      <c r="F41" s="79"/>
      <c r="G41" s="81" t="str">
        <f t="shared" si="0"/>
        <v/>
      </c>
      <c r="H41" s="68" t="str">
        <f t="shared" si="1"/>
        <v/>
      </c>
      <c r="I41" s="60" t="str">
        <f t="shared" si="2"/>
        <v/>
      </c>
      <c r="J41" s="40"/>
    </row>
    <row r="42" spans="2:10" x14ac:dyDescent="0.25">
      <c r="B42" s="37"/>
      <c r="C42" s="28"/>
      <c r="D42" s="28"/>
      <c r="E42" s="28"/>
      <c r="F42" s="79"/>
      <c r="G42" s="80" t="str">
        <f t="shared" si="0"/>
        <v/>
      </c>
      <c r="H42" s="65" t="str">
        <f t="shared" si="1"/>
        <v/>
      </c>
      <c r="I42" s="52" t="str">
        <f t="shared" si="2"/>
        <v/>
      </c>
      <c r="J42" s="40"/>
    </row>
    <row r="43" spans="2:10" x14ac:dyDescent="0.25">
      <c r="B43" s="37"/>
      <c r="C43" s="28"/>
      <c r="D43" s="28"/>
      <c r="E43" s="28"/>
      <c r="F43" s="79"/>
      <c r="G43" s="81" t="str">
        <f t="shared" si="0"/>
        <v/>
      </c>
      <c r="H43" s="68" t="str">
        <f t="shared" si="1"/>
        <v/>
      </c>
      <c r="I43" s="60" t="str">
        <f t="shared" si="2"/>
        <v/>
      </c>
      <c r="J43" s="40"/>
    </row>
    <row r="44" spans="2:10" x14ac:dyDescent="0.25">
      <c r="B44" s="37"/>
      <c r="C44" s="28"/>
      <c r="D44" s="28"/>
      <c r="E44" s="28"/>
      <c r="F44" s="79"/>
      <c r="G44" s="80" t="str">
        <f t="shared" si="0"/>
        <v/>
      </c>
      <c r="H44" s="65" t="str">
        <f t="shared" si="1"/>
        <v/>
      </c>
      <c r="I44" s="52" t="str">
        <f t="shared" si="2"/>
        <v/>
      </c>
      <c r="J44" s="40"/>
    </row>
    <row r="45" spans="2:10" x14ac:dyDescent="0.25">
      <c r="B45" s="37"/>
      <c r="C45" s="28"/>
      <c r="D45" s="28"/>
      <c r="E45" s="28"/>
      <c r="F45" s="79"/>
      <c r="G45" s="81" t="str">
        <f t="shared" si="0"/>
        <v/>
      </c>
      <c r="H45" s="68" t="str">
        <f t="shared" si="1"/>
        <v/>
      </c>
      <c r="I45" s="60" t="str">
        <f t="shared" si="2"/>
        <v/>
      </c>
      <c r="J45" s="40"/>
    </row>
    <row r="46" spans="2:10" x14ac:dyDescent="0.25">
      <c r="B46" s="37"/>
      <c r="C46" s="28"/>
      <c r="D46" s="28"/>
      <c r="E46" s="28"/>
      <c r="F46" s="79"/>
      <c r="G46" s="80" t="str">
        <f t="shared" si="0"/>
        <v/>
      </c>
      <c r="H46" s="65" t="str">
        <f t="shared" si="1"/>
        <v/>
      </c>
      <c r="I46" s="52" t="str">
        <f t="shared" si="2"/>
        <v/>
      </c>
      <c r="J46" s="40"/>
    </row>
    <row r="47" spans="2:10" x14ac:dyDescent="0.25">
      <c r="B47" s="37"/>
      <c r="C47" s="28"/>
      <c r="D47" s="28"/>
      <c r="E47" s="28"/>
      <c r="F47" s="79"/>
      <c r="G47" s="81" t="str">
        <f t="shared" si="0"/>
        <v/>
      </c>
      <c r="H47" s="68" t="str">
        <f t="shared" si="1"/>
        <v/>
      </c>
      <c r="I47" s="60" t="str">
        <f t="shared" si="2"/>
        <v/>
      </c>
      <c r="J47" s="40"/>
    </row>
    <row r="48" spans="2:10" x14ac:dyDescent="0.25">
      <c r="B48" s="37"/>
      <c r="C48" s="28"/>
      <c r="D48" s="28"/>
      <c r="E48" s="28"/>
      <c r="F48" s="79"/>
      <c r="G48" s="80" t="str">
        <f t="shared" si="0"/>
        <v/>
      </c>
      <c r="H48" s="65" t="str">
        <f t="shared" si="1"/>
        <v/>
      </c>
      <c r="I48" s="52" t="str">
        <f t="shared" si="2"/>
        <v/>
      </c>
      <c r="J48" s="40"/>
    </row>
    <row r="49" spans="2:10" x14ac:dyDescent="0.25">
      <c r="B49" s="37"/>
      <c r="C49" s="28"/>
      <c r="D49" s="28"/>
      <c r="E49" s="28"/>
      <c r="F49" s="79"/>
      <c r="G49" s="81" t="str">
        <f t="shared" si="0"/>
        <v/>
      </c>
      <c r="H49" s="68" t="str">
        <f t="shared" si="1"/>
        <v/>
      </c>
      <c r="I49" s="60" t="str">
        <f t="shared" si="2"/>
        <v/>
      </c>
      <c r="J49" s="40"/>
    </row>
    <row r="50" spans="2:10" x14ac:dyDescent="0.25">
      <c r="B50" s="37"/>
      <c r="C50" s="28"/>
      <c r="D50" s="28"/>
      <c r="E50" s="28"/>
      <c r="F50" s="79"/>
      <c r="G50" s="80" t="str">
        <f t="shared" si="0"/>
        <v/>
      </c>
      <c r="H50" s="65" t="str">
        <f t="shared" si="1"/>
        <v/>
      </c>
      <c r="I50" s="52" t="str">
        <f t="shared" si="2"/>
        <v/>
      </c>
      <c r="J50" s="40"/>
    </row>
    <row r="51" spans="2:10" x14ac:dyDescent="0.25">
      <c r="B51" s="37"/>
      <c r="C51" s="28"/>
      <c r="D51" s="28"/>
      <c r="E51" s="28"/>
      <c r="F51" s="79"/>
      <c r="G51" s="81" t="str">
        <f t="shared" si="0"/>
        <v/>
      </c>
      <c r="H51" s="68" t="str">
        <f t="shared" si="1"/>
        <v/>
      </c>
      <c r="I51" s="60" t="str">
        <f t="shared" si="2"/>
        <v/>
      </c>
      <c r="J51" s="40"/>
    </row>
    <row r="52" spans="2:10" x14ac:dyDescent="0.25">
      <c r="B52" s="37"/>
      <c r="C52" s="28"/>
      <c r="D52" s="28"/>
      <c r="E52" s="28"/>
      <c r="F52" s="79"/>
      <c r="G52" s="80" t="str">
        <f t="shared" si="0"/>
        <v/>
      </c>
      <c r="H52" s="65" t="str">
        <f t="shared" si="1"/>
        <v/>
      </c>
      <c r="I52" s="52" t="str">
        <f t="shared" si="2"/>
        <v/>
      </c>
      <c r="J52" s="40"/>
    </row>
    <row r="53" spans="2:10" x14ac:dyDescent="0.25">
      <c r="B53" s="37"/>
      <c r="C53" s="28"/>
      <c r="D53" s="28"/>
      <c r="E53" s="28"/>
      <c r="F53" s="79"/>
      <c r="G53" s="81" t="str">
        <f t="shared" si="0"/>
        <v/>
      </c>
      <c r="H53" s="68" t="str">
        <f t="shared" si="1"/>
        <v/>
      </c>
      <c r="I53" s="60" t="str">
        <f t="shared" si="2"/>
        <v/>
      </c>
      <c r="J53" s="40"/>
    </row>
    <row r="54" spans="2:10" x14ac:dyDescent="0.25">
      <c r="B54" s="37"/>
      <c r="C54" s="28"/>
      <c r="D54" s="28"/>
      <c r="E54" s="28"/>
      <c r="F54" s="79"/>
      <c r="G54" s="80" t="str">
        <f t="shared" si="0"/>
        <v/>
      </c>
      <c r="H54" s="65" t="str">
        <f t="shared" si="1"/>
        <v/>
      </c>
      <c r="I54" s="52" t="str">
        <f t="shared" si="2"/>
        <v/>
      </c>
      <c r="J54" s="40"/>
    </row>
    <row r="55" spans="2:10" x14ac:dyDescent="0.25">
      <c r="B55" s="37"/>
      <c r="C55" s="28"/>
      <c r="D55" s="28"/>
      <c r="E55" s="28"/>
      <c r="F55" s="79"/>
      <c r="G55" s="81" t="str">
        <f t="shared" si="0"/>
        <v/>
      </c>
      <c r="H55" s="68" t="str">
        <f t="shared" si="1"/>
        <v/>
      </c>
      <c r="I55" s="60" t="str">
        <f t="shared" si="2"/>
        <v/>
      </c>
      <c r="J55" s="40"/>
    </row>
    <row r="56" spans="2:10" x14ac:dyDescent="0.25">
      <c r="B56" s="37"/>
      <c r="C56" s="28"/>
      <c r="D56" s="28"/>
      <c r="E56" s="28"/>
      <c r="F56" s="79"/>
      <c r="G56" s="80" t="str">
        <f t="shared" si="0"/>
        <v/>
      </c>
      <c r="H56" s="65" t="str">
        <f t="shared" si="1"/>
        <v/>
      </c>
      <c r="I56" s="52" t="str">
        <f t="shared" si="2"/>
        <v/>
      </c>
      <c r="J56" s="40"/>
    </row>
    <row r="57" spans="2:10" x14ac:dyDescent="0.25">
      <c r="B57" s="37"/>
      <c r="C57" s="28"/>
      <c r="D57" s="28"/>
      <c r="E57" s="28"/>
      <c r="F57" s="79"/>
      <c r="G57" s="81" t="str">
        <f t="shared" si="0"/>
        <v/>
      </c>
      <c r="H57" s="68" t="str">
        <f t="shared" si="1"/>
        <v/>
      </c>
      <c r="I57" s="60" t="str">
        <f t="shared" si="2"/>
        <v/>
      </c>
      <c r="J57" s="40"/>
    </row>
    <row r="58" spans="2:10" x14ac:dyDescent="0.25">
      <c r="B58" s="37"/>
      <c r="C58" s="28"/>
      <c r="D58" s="28"/>
      <c r="E58" s="28"/>
      <c r="F58" s="79"/>
      <c r="G58" s="80" t="str">
        <f t="shared" si="0"/>
        <v/>
      </c>
      <c r="H58" s="65" t="str">
        <f t="shared" si="1"/>
        <v/>
      </c>
      <c r="I58" s="52" t="str">
        <f t="shared" si="2"/>
        <v/>
      </c>
      <c r="J58" s="40"/>
    </row>
    <row r="59" spans="2:10" x14ac:dyDescent="0.25">
      <c r="B59" s="37"/>
      <c r="C59" s="28"/>
      <c r="D59" s="28"/>
      <c r="E59" s="28"/>
      <c r="F59" s="79"/>
      <c r="G59" s="81" t="str">
        <f t="shared" si="0"/>
        <v/>
      </c>
      <c r="H59" s="68" t="str">
        <f t="shared" si="1"/>
        <v/>
      </c>
      <c r="I59" s="60" t="str">
        <f t="shared" si="2"/>
        <v/>
      </c>
      <c r="J59" s="40"/>
    </row>
    <row r="60" spans="2:10" x14ac:dyDescent="0.25">
      <c r="B60" s="37"/>
      <c r="C60" s="28"/>
      <c r="D60" s="28"/>
      <c r="E60" s="28"/>
      <c r="F60" s="79"/>
      <c r="G60" s="80" t="str">
        <f t="shared" si="0"/>
        <v/>
      </c>
      <c r="H60" s="65" t="str">
        <f t="shared" si="1"/>
        <v/>
      </c>
      <c r="I60" s="52" t="str">
        <f t="shared" si="2"/>
        <v/>
      </c>
      <c r="J60" s="40"/>
    </row>
    <row r="61" spans="2:10" x14ac:dyDescent="0.25">
      <c r="B61" s="37"/>
      <c r="C61" s="28"/>
      <c r="D61" s="28"/>
      <c r="E61" s="28"/>
      <c r="F61" s="79"/>
      <c r="G61" s="81" t="str">
        <f t="shared" si="0"/>
        <v/>
      </c>
      <c r="H61" s="68" t="str">
        <f t="shared" si="1"/>
        <v/>
      </c>
      <c r="I61" s="60" t="str">
        <f t="shared" si="2"/>
        <v/>
      </c>
      <c r="J61" s="40"/>
    </row>
    <row r="62" spans="2:10" x14ac:dyDescent="0.25">
      <c r="B62" s="37"/>
      <c r="C62" s="28"/>
      <c r="D62" s="28"/>
      <c r="E62" s="28"/>
      <c r="F62" s="79"/>
      <c r="G62" s="80" t="str">
        <f t="shared" si="0"/>
        <v/>
      </c>
      <c r="H62" s="65" t="str">
        <f t="shared" si="1"/>
        <v/>
      </c>
      <c r="I62" s="52" t="str">
        <f t="shared" si="2"/>
        <v/>
      </c>
      <c r="J62" s="40"/>
    </row>
    <row r="63" spans="2:10" x14ac:dyDescent="0.25">
      <c r="B63" s="37"/>
      <c r="C63" s="28"/>
      <c r="D63" s="28"/>
      <c r="E63" s="28"/>
      <c r="F63" s="79"/>
      <c r="G63" s="81" t="str">
        <f t="shared" si="0"/>
        <v/>
      </c>
      <c r="H63" s="68" t="str">
        <f t="shared" si="1"/>
        <v/>
      </c>
      <c r="I63" s="60" t="str">
        <f t="shared" si="2"/>
        <v/>
      </c>
      <c r="J63" s="40"/>
    </row>
    <row r="64" spans="2:10" x14ac:dyDescent="0.25">
      <c r="B64" s="37"/>
      <c r="C64" s="28"/>
      <c r="D64" s="28"/>
      <c r="E64" s="28"/>
      <c r="F64" s="79"/>
      <c r="G64" s="80" t="str">
        <f t="shared" si="0"/>
        <v/>
      </c>
      <c r="H64" s="65" t="str">
        <f t="shared" si="1"/>
        <v/>
      </c>
      <c r="I64" s="52" t="str">
        <f t="shared" si="2"/>
        <v/>
      </c>
      <c r="J64" s="40"/>
    </row>
    <row r="65" spans="2:10" x14ac:dyDescent="0.25">
      <c r="B65" s="37"/>
      <c r="C65" s="28"/>
      <c r="D65" s="28"/>
      <c r="E65" s="28"/>
      <c r="F65" s="79"/>
      <c r="G65" s="81" t="str">
        <f t="shared" si="0"/>
        <v/>
      </c>
      <c r="H65" s="68" t="str">
        <f t="shared" si="1"/>
        <v/>
      </c>
      <c r="I65" s="60" t="str">
        <f t="shared" si="2"/>
        <v/>
      </c>
      <c r="J65" s="40"/>
    </row>
    <row r="66" spans="2:10" x14ac:dyDescent="0.25">
      <c r="B66" s="37"/>
      <c r="C66" s="28"/>
      <c r="D66" s="28"/>
      <c r="E66" s="28"/>
      <c r="F66" s="79"/>
      <c r="G66" s="80" t="str">
        <f t="shared" si="0"/>
        <v/>
      </c>
      <c r="H66" s="65" t="str">
        <f t="shared" si="1"/>
        <v/>
      </c>
      <c r="I66" s="52" t="str">
        <f t="shared" si="2"/>
        <v/>
      </c>
      <c r="J66" s="40"/>
    </row>
    <row r="67" spans="2:10" x14ac:dyDescent="0.25">
      <c r="B67" s="37"/>
      <c r="C67" s="28"/>
      <c r="D67" s="28"/>
      <c r="E67" s="28"/>
      <c r="F67" s="79"/>
      <c r="G67" s="81" t="str">
        <f t="shared" si="0"/>
        <v/>
      </c>
      <c r="H67" s="68" t="str">
        <f t="shared" si="1"/>
        <v/>
      </c>
      <c r="I67" s="60" t="str">
        <f t="shared" si="2"/>
        <v/>
      </c>
      <c r="J67" s="40"/>
    </row>
    <row r="68" spans="2:10" x14ac:dyDescent="0.25">
      <c r="B68" s="37"/>
      <c r="C68" s="28"/>
      <c r="D68" s="28"/>
      <c r="E68" s="28"/>
      <c r="F68" s="79"/>
      <c r="G68" s="80" t="str">
        <f t="shared" si="0"/>
        <v/>
      </c>
      <c r="H68" s="65" t="str">
        <f t="shared" si="1"/>
        <v/>
      </c>
      <c r="I68" s="52" t="str">
        <f t="shared" si="2"/>
        <v/>
      </c>
      <c r="J68" s="40"/>
    </row>
    <row r="69" spans="2:10" x14ac:dyDescent="0.25">
      <c r="B69" s="37"/>
      <c r="C69" s="28"/>
      <c r="D69" s="28"/>
      <c r="E69" s="28"/>
      <c r="F69" s="79"/>
      <c r="G69" s="81" t="str">
        <f t="shared" si="0"/>
        <v/>
      </c>
      <c r="H69" s="68" t="str">
        <f t="shared" si="1"/>
        <v/>
      </c>
      <c r="I69" s="60" t="str">
        <f t="shared" si="2"/>
        <v/>
      </c>
      <c r="J69" s="40"/>
    </row>
    <row r="70" spans="2:10" x14ac:dyDescent="0.25">
      <c r="B70" s="37"/>
      <c r="C70" s="28"/>
      <c r="D70" s="28"/>
      <c r="E70" s="28"/>
      <c r="F70" s="79"/>
      <c r="G70" s="80" t="str">
        <f t="shared" si="0"/>
        <v/>
      </c>
      <c r="H70" s="65" t="str">
        <f t="shared" si="1"/>
        <v/>
      </c>
      <c r="I70" s="52" t="str">
        <f t="shared" si="2"/>
        <v/>
      </c>
      <c r="J70" s="40"/>
    </row>
    <row r="71" spans="2:10" x14ac:dyDescent="0.25">
      <c r="B71" s="37"/>
      <c r="C71" s="28"/>
      <c r="D71" s="28"/>
      <c r="E71" s="28"/>
      <c r="F71" s="79"/>
      <c r="G71" s="81" t="str">
        <f t="shared" si="0"/>
        <v/>
      </c>
      <c r="H71" s="68" t="str">
        <f t="shared" si="1"/>
        <v/>
      </c>
      <c r="I71" s="60" t="str">
        <f t="shared" si="2"/>
        <v/>
      </c>
      <c r="J71" s="40"/>
    </row>
    <row r="72" spans="2:10" x14ac:dyDescent="0.25">
      <c r="B72" s="37"/>
      <c r="C72" s="28"/>
      <c r="D72" s="28"/>
      <c r="E72" s="28"/>
      <c r="F72" s="79"/>
      <c r="G72" s="80" t="str">
        <f t="shared" ref="G72:G135" si="3">IF($B72="","",IFERROR(INDEX(TR_Value,MATCH(1,INDEX((ISNUMBER(SEARCH("mileage_business",TR_Id)))*(TR_From&lt;=$B72)*(TR_To&gt;=$B72),0),0)),"NO RATE"))</f>
        <v/>
      </c>
      <c r="H72" s="65" t="str">
        <f t="shared" ref="H72:H135" si="4">IF(OR($B72="",N($F72)=0),"",IF(NOT(ISNUMBER($G72)),"REVIEW - no 2026 rate for this date",ROUND($F72*$G72,2)))</f>
        <v/>
      </c>
      <c r="I72" s="52" t="str">
        <f t="shared" ref="I72:I135" si="5">IF($B72="","",IFERROR(INDEX(TR_Id,MATCH(1,INDEX((ISNUMBER(SEARCH("mileage_business",TR_Id)))*(TR_From&lt;=$B72)*(TR_To&gt;=$B72),0),0)),"outside 2026"))</f>
        <v/>
      </c>
      <c r="J72" s="40"/>
    </row>
    <row r="73" spans="2:10" x14ac:dyDescent="0.25">
      <c r="B73" s="37"/>
      <c r="C73" s="28"/>
      <c r="D73" s="28"/>
      <c r="E73" s="28"/>
      <c r="F73" s="79"/>
      <c r="G73" s="81" t="str">
        <f t="shared" si="3"/>
        <v/>
      </c>
      <c r="H73" s="68" t="str">
        <f t="shared" si="4"/>
        <v/>
      </c>
      <c r="I73" s="60" t="str">
        <f t="shared" si="5"/>
        <v/>
      </c>
      <c r="J73" s="40"/>
    </row>
    <row r="74" spans="2:10" x14ac:dyDescent="0.25">
      <c r="B74" s="37"/>
      <c r="C74" s="28"/>
      <c r="D74" s="28"/>
      <c r="E74" s="28"/>
      <c r="F74" s="79"/>
      <c r="G74" s="80" t="str">
        <f t="shared" si="3"/>
        <v/>
      </c>
      <c r="H74" s="65" t="str">
        <f t="shared" si="4"/>
        <v/>
      </c>
      <c r="I74" s="52" t="str">
        <f t="shared" si="5"/>
        <v/>
      </c>
      <c r="J74" s="40"/>
    </row>
    <row r="75" spans="2:10" x14ac:dyDescent="0.25">
      <c r="B75" s="37"/>
      <c r="C75" s="28"/>
      <c r="D75" s="28"/>
      <c r="E75" s="28"/>
      <c r="F75" s="79"/>
      <c r="G75" s="81" t="str">
        <f t="shared" si="3"/>
        <v/>
      </c>
      <c r="H75" s="68" t="str">
        <f t="shared" si="4"/>
        <v/>
      </c>
      <c r="I75" s="60" t="str">
        <f t="shared" si="5"/>
        <v/>
      </c>
      <c r="J75" s="40"/>
    </row>
    <row r="76" spans="2:10" x14ac:dyDescent="0.25">
      <c r="B76" s="37"/>
      <c r="C76" s="28"/>
      <c r="D76" s="28"/>
      <c r="E76" s="28"/>
      <c r="F76" s="79"/>
      <c r="G76" s="80" t="str">
        <f t="shared" si="3"/>
        <v/>
      </c>
      <c r="H76" s="65" t="str">
        <f t="shared" si="4"/>
        <v/>
      </c>
      <c r="I76" s="52" t="str">
        <f t="shared" si="5"/>
        <v/>
      </c>
      <c r="J76" s="40"/>
    </row>
    <row r="77" spans="2:10" x14ac:dyDescent="0.25">
      <c r="B77" s="37"/>
      <c r="C77" s="28"/>
      <c r="D77" s="28"/>
      <c r="E77" s="28"/>
      <c r="F77" s="79"/>
      <c r="G77" s="81" t="str">
        <f t="shared" si="3"/>
        <v/>
      </c>
      <c r="H77" s="68" t="str">
        <f t="shared" si="4"/>
        <v/>
      </c>
      <c r="I77" s="60" t="str">
        <f t="shared" si="5"/>
        <v/>
      </c>
      <c r="J77" s="40"/>
    </row>
    <row r="78" spans="2:10" x14ac:dyDescent="0.25">
      <c r="B78" s="37"/>
      <c r="C78" s="28"/>
      <c r="D78" s="28"/>
      <c r="E78" s="28"/>
      <c r="F78" s="79"/>
      <c r="G78" s="80" t="str">
        <f t="shared" si="3"/>
        <v/>
      </c>
      <c r="H78" s="65" t="str">
        <f t="shared" si="4"/>
        <v/>
      </c>
      <c r="I78" s="52" t="str">
        <f t="shared" si="5"/>
        <v/>
      </c>
      <c r="J78" s="40"/>
    </row>
    <row r="79" spans="2:10" x14ac:dyDescent="0.25">
      <c r="B79" s="37"/>
      <c r="C79" s="28"/>
      <c r="D79" s="28"/>
      <c r="E79" s="28"/>
      <c r="F79" s="79"/>
      <c r="G79" s="81" t="str">
        <f t="shared" si="3"/>
        <v/>
      </c>
      <c r="H79" s="68" t="str">
        <f t="shared" si="4"/>
        <v/>
      </c>
      <c r="I79" s="60" t="str">
        <f t="shared" si="5"/>
        <v/>
      </c>
      <c r="J79" s="40"/>
    </row>
    <row r="80" spans="2:10" x14ac:dyDescent="0.25">
      <c r="B80" s="37"/>
      <c r="C80" s="28"/>
      <c r="D80" s="28"/>
      <c r="E80" s="28"/>
      <c r="F80" s="79"/>
      <c r="G80" s="80" t="str">
        <f t="shared" si="3"/>
        <v/>
      </c>
      <c r="H80" s="65" t="str">
        <f t="shared" si="4"/>
        <v/>
      </c>
      <c r="I80" s="52" t="str">
        <f t="shared" si="5"/>
        <v/>
      </c>
      <c r="J80" s="40"/>
    </row>
    <row r="81" spans="2:10" x14ac:dyDescent="0.25">
      <c r="B81" s="37"/>
      <c r="C81" s="28"/>
      <c r="D81" s="28"/>
      <c r="E81" s="28"/>
      <c r="F81" s="79"/>
      <c r="G81" s="81" t="str">
        <f t="shared" si="3"/>
        <v/>
      </c>
      <c r="H81" s="68" t="str">
        <f t="shared" si="4"/>
        <v/>
      </c>
      <c r="I81" s="60" t="str">
        <f t="shared" si="5"/>
        <v/>
      </c>
      <c r="J81" s="40"/>
    </row>
    <row r="82" spans="2:10" x14ac:dyDescent="0.25">
      <c r="B82" s="37"/>
      <c r="C82" s="28"/>
      <c r="D82" s="28"/>
      <c r="E82" s="28"/>
      <c r="F82" s="79"/>
      <c r="G82" s="80" t="str">
        <f t="shared" si="3"/>
        <v/>
      </c>
      <c r="H82" s="65" t="str">
        <f t="shared" si="4"/>
        <v/>
      </c>
      <c r="I82" s="52" t="str">
        <f t="shared" si="5"/>
        <v/>
      </c>
      <c r="J82" s="40"/>
    </row>
    <row r="83" spans="2:10" x14ac:dyDescent="0.25">
      <c r="B83" s="37"/>
      <c r="C83" s="28"/>
      <c r="D83" s="28"/>
      <c r="E83" s="28"/>
      <c r="F83" s="79"/>
      <c r="G83" s="81" t="str">
        <f t="shared" si="3"/>
        <v/>
      </c>
      <c r="H83" s="68" t="str">
        <f t="shared" si="4"/>
        <v/>
      </c>
      <c r="I83" s="60" t="str">
        <f t="shared" si="5"/>
        <v/>
      </c>
      <c r="J83" s="40"/>
    </row>
    <row r="84" spans="2:10" x14ac:dyDescent="0.25">
      <c r="B84" s="37"/>
      <c r="C84" s="28"/>
      <c r="D84" s="28"/>
      <c r="E84" s="28"/>
      <c r="F84" s="79"/>
      <c r="G84" s="80" t="str">
        <f t="shared" si="3"/>
        <v/>
      </c>
      <c r="H84" s="65" t="str">
        <f t="shared" si="4"/>
        <v/>
      </c>
      <c r="I84" s="52" t="str">
        <f t="shared" si="5"/>
        <v/>
      </c>
      <c r="J84" s="40"/>
    </row>
    <row r="85" spans="2:10" x14ac:dyDescent="0.25">
      <c r="B85" s="37"/>
      <c r="C85" s="28"/>
      <c r="D85" s="28"/>
      <c r="E85" s="28"/>
      <c r="F85" s="79"/>
      <c r="G85" s="81" t="str">
        <f t="shared" si="3"/>
        <v/>
      </c>
      <c r="H85" s="68" t="str">
        <f t="shared" si="4"/>
        <v/>
      </c>
      <c r="I85" s="60" t="str">
        <f t="shared" si="5"/>
        <v/>
      </c>
      <c r="J85" s="40"/>
    </row>
    <row r="86" spans="2:10" x14ac:dyDescent="0.25">
      <c r="B86" s="37"/>
      <c r="C86" s="28"/>
      <c r="D86" s="28"/>
      <c r="E86" s="28"/>
      <c r="F86" s="79"/>
      <c r="G86" s="80" t="str">
        <f t="shared" si="3"/>
        <v/>
      </c>
      <c r="H86" s="65" t="str">
        <f t="shared" si="4"/>
        <v/>
      </c>
      <c r="I86" s="52" t="str">
        <f t="shared" si="5"/>
        <v/>
      </c>
      <c r="J86" s="40"/>
    </row>
    <row r="87" spans="2:10" x14ac:dyDescent="0.25">
      <c r="B87" s="37"/>
      <c r="C87" s="28"/>
      <c r="D87" s="28"/>
      <c r="E87" s="28"/>
      <c r="F87" s="79"/>
      <c r="G87" s="81" t="str">
        <f t="shared" si="3"/>
        <v/>
      </c>
      <c r="H87" s="68" t="str">
        <f t="shared" si="4"/>
        <v/>
      </c>
      <c r="I87" s="60" t="str">
        <f t="shared" si="5"/>
        <v/>
      </c>
      <c r="J87" s="40"/>
    </row>
    <row r="88" spans="2:10" x14ac:dyDescent="0.25">
      <c r="B88" s="37"/>
      <c r="C88" s="28"/>
      <c r="D88" s="28"/>
      <c r="E88" s="28"/>
      <c r="F88" s="79"/>
      <c r="G88" s="80" t="str">
        <f t="shared" si="3"/>
        <v/>
      </c>
      <c r="H88" s="65" t="str">
        <f t="shared" si="4"/>
        <v/>
      </c>
      <c r="I88" s="52" t="str">
        <f t="shared" si="5"/>
        <v/>
      </c>
      <c r="J88" s="40"/>
    </row>
    <row r="89" spans="2:10" x14ac:dyDescent="0.25">
      <c r="B89" s="37"/>
      <c r="C89" s="28"/>
      <c r="D89" s="28"/>
      <c r="E89" s="28"/>
      <c r="F89" s="79"/>
      <c r="G89" s="81" t="str">
        <f t="shared" si="3"/>
        <v/>
      </c>
      <c r="H89" s="68" t="str">
        <f t="shared" si="4"/>
        <v/>
      </c>
      <c r="I89" s="60" t="str">
        <f t="shared" si="5"/>
        <v/>
      </c>
      <c r="J89" s="40"/>
    </row>
    <row r="90" spans="2:10" x14ac:dyDescent="0.25">
      <c r="B90" s="37"/>
      <c r="C90" s="28"/>
      <c r="D90" s="28"/>
      <c r="E90" s="28"/>
      <c r="F90" s="79"/>
      <c r="G90" s="80" t="str">
        <f t="shared" si="3"/>
        <v/>
      </c>
      <c r="H90" s="65" t="str">
        <f t="shared" si="4"/>
        <v/>
      </c>
      <c r="I90" s="52" t="str">
        <f t="shared" si="5"/>
        <v/>
      </c>
      <c r="J90" s="40"/>
    </row>
    <row r="91" spans="2:10" x14ac:dyDescent="0.25">
      <c r="B91" s="37"/>
      <c r="C91" s="28"/>
      <c r="D91" s="28"/>
      <c r="E91" s="28"/>
      <c r="F91" s="79"/>
      <c r="G91" s="81" t="str">
        <f t="shared" si="3"/>
        <v/>
      </c>
      <c r="H91" s="68" t="str">
        <f t="shared" si="4"/>
        <v/>
      </c>
      <c r="I91" s="60" t="str">
        <f t="shared" si="5"/>
        <v/>
      </c>
      <c r="J91" s="40"/>
    </row>
    <row r="92" spans="2:10" x14ac:dyDescent="0.25">
      <c r="B92" s="37"/>
      <c r="C92" s="28"/>
      <c r="D92" s="28"/>
      <c r="E92" s="28"/>
      <c r="F92" s="79"/>
      <c r="G92" s="80" t="str">
        <f t="shared" si="3"/>
        <v/>
      </c>
      <c r="H92" s="65" t="str">
        <f t="shared" si="4"/>
        <v/>
      </c>
      <c r="I92" s="52" t="str">
        <f t="shared" si="5"/>
        <v/>
      </c>
      <c r="J92" s="40"/>
    </row>
    <row r="93" spans="2:10" x14ac:dyDescent="0.25">
      <c r="B93" s="37"/>
      <c r="C93" s="28"/>
      <c r="D93" s="28"/>
      <c r="E93" s="28"/>
      <c r="F93" s="79"/>
      <c r="G93" s="81" t="str">
        <f t="shared" si="3"/>
        <v/>
      </c>
      <c r="H93" s="68" t="str">
        <f t="shared" si="4"/>
        <v/>
      </c>
      <c r="I93" s="60" t="str">
        <f t="shared" si="5"/>
        <v/>
      </c>
      <c r="J93" s="40"/>
    </row>
    <row r="94" spans="2:10" x14ac:dyDescent="0.25">
      <c r="B94" s="37"/>
      <c r="C94" s="28"/>
      <c r="D94" s="28"/>
      <c r="E94" s="28"/>
      <c r="F94" s="79"/>
      <c r="G94" s="80" t="str">
        <f t="shared" si="3"/>
        <v/>
      </c>
      <c r="H94" s="65" t="str">
        <f t="shared" si="4"/>
        <v/>
      </c>
      <c r="I94" s="52" t="str">
        <f t="shared" si="5"/>
        <v/>
      </c>
      <c r="J94" s="40"/>
    </row>
    <row r="95" spans="2:10" x14ac:dyDescent="0.25">
      <c r="B95" s="37"/>
      <c r="C95" s="28"/>
      <c r="D95" s="28"/>
      <c r="E95" s="28"/>
      <c r="F95" s="79"/>
      <c r="G95" s="81" t="str">
        <f t="shared" si="3"/>
        <v/>
      </c>
      <c r="H95" s="68" t="str">
        <f t="shared" si="4"/>
        <v/>
      </c>
      <c r="I95" s="60" t="str">
        <f t="shared" si="5"/>
        <v/>
      </c>
      <c r="J95" s="40"/>
    </row>
    <row r="96" spans="2:10" x14ac:dyDescent="0.25">
      <c r="B96" s="37"/>
      <c r="C96" s="28"/>
      <c r="D96" s="28"/>
      <c r="E96" s="28"/>
      <c r="F96" s="79"/>
      <c r="G96" s="80" t="str">
        <f t="shared" si="3"/>
        <v/>
      </c>
      <c r="H96" s="65" t="str">
        <f t="shared" si="4"/>
        <v/>
      </c>
      <c r="I96" s="52" t="str">
        <f t="shared" si="5"/>
        <v/>
      </c>
      <c r="J96" s="40"/>
    </row>
    <row r="97" spans="2:10" x14ac:dyDescent="0.25">
      <c r="B97" s="37"/>
      <c r="C97" s="28"/>
      <c r="D97" s="28"/>
      <c r="E97" s="28"/>
      <c r="F97" s="79"/>
      <c r="G97" s="81" t="str">
        <f t="shared" si="3"/>
        <v/>
      </c>
      <c r="H97" s="68" t="str">
        <f t="shared" si="4"/>
        <v/>
      </c>
      <c r="I97" s="60" t="str">
        <f t="shared" si="5"/>
        <v/>
      </c>
      <c r="J97" s="40"/>
    </row>
    <row r="98" spans="2:10" x14ac:dyDescent="0.25">
      <c r="B98" s="37"/>
      <c r="C98" s="28"/>
      <c r="D98" s="28"/>
      <c r="E98" s="28"/>
      <c r="F98" s="79"/>
      <c r="G98" s="80" t="str">
        <f t="shared" si="3"/>
        <v/>
      </c>
      <c r="H98" s="65" t="str">
        <f t="shared" si="4"/>
        <v/>
      </c>
      <c r="I98" s="52" t="str">
        <f t="shared" si="5"/>
        <v/>
      </c>
      <c r="J98" s="40"/>
    </row>
    <row r="99" spans="2:10" x14ac:dyDescent="0.25">
      <c r="B99" s="37"/>
      <c r="C99" s="28"/>
      <c r="D99" s="28"/>
      <c r="E99" s="28"/>
      <c r="F99" s="79"/>
      <c r="G99" s="81" t="str">
        <f t="shared" si="3"/>
        <v/>
      </c>
      <c r="H99" s="68" t="str">
        <f t="shared" si="4"/>
        <v/>
      </c>
      <c r="I99" s="60" t="str">
        <f t="shared" si="5"/>
        <v/>
      </c>
      <c r="J99" s="40"/>
    </row>
    <row r="100" spans="2:10" x14ac:dyDescent="0.25">
      <c r="B100" s="37"/>
      <c r="C100" s="28"/>
      <c r="D100" s="28"/>
      <c r="E100" s="28"/>
      <c r="F100" s="79"/>
      <c r="G100" s="80" t="str">
        <f t="shared" si="3"/>
        <v/>
      </c>
      <c r="H100" s="65" t="str">
        <f t="shared" si="4"/>
        <v/>
      </c>
      <c r="I100" s="52" t="str">
        <f t="shared" si="5"/>
        <v/>
      </c>
      <c r="J100" s="40"/>
    </row>
    <row r="101" spans="2:10" x14ac:dyDescent="0.25">
      <c r="B101" s="37"/>
      <c r="C101" s="28"/>
      <c r="D101" s="28"/>
      <c r="E101" s="28"/>
      <c r="F101" s="79"/>
      <c r="G101" s="81" t="str">
        <f t="shared" si="3"/>
        <v/>
      </c>
      <c r="H101" s="68" t="str">
        <f t="shared" si="4"/>
        <v/>
      </c>
      <c r="I101" s="60" t="str">
        <f t="shared" si="5"/>
        <v/>
      </c>
      <c r="J101" s="40"/>
    </row>
    <row r="102" spans="2:10" x14ac:dyDescent="0.25">
      <c r="B102" s="37"/>
      <c r="C102" s="28"/>
      <c r="D102" s="28"/>
      <c r="E102" s="28"/>
      <c r="F102" s="79"/>
      <c r="G102" s="80" t="str">
        <f t="shared" si="3"/>
        <v/>
      </c>
      <c r="H102" s="65" t="str">
        <f t="shared" si="4"/>
        <v/>
      </c>
      <c r="I102" s="52" t="str">
        <f t="shared" si="5"/>
        <v/>
      </c>
      <c r="J102" s="40"/>
    </row>
    <row r="103" spans="2:10" x14ac:dyDescent="0.25">
      <c r="B103" s="37"/>
      <c r="C103" s="28"/>
      <c r="D103" s="28"/>
      <c r="E103" s="28"/>
      <c r="F103" s="79"/>
      <c r="G103" s="81" t="str">
        <f t="shared" si="3"/>
        <v/>
      </c>
      <c r="H103" s="68" t="str">
        <f t="shared" si="4"/>
        <v/>
      </c>
      <c r="I103" s="60" t="str">
        <f t="shared" si="5"/>
        <v/>
      </c>
      <c r="J103" s="40"/>
    </row>
    <row r="104" spans="2:10" x14ac:dyDescent="0.25">
      <c r="B104" s="37"/>
      <c r="C104" s="28"/>
      <c r="D104" s="28"/>
      <c r="E104" s="28"/>
      <c r="F104" s="79"/>
      <c r="G104" s="80" t="str">
        <f t="shared" si="3"/>
        <v/>
      </c>
      <c r="H104" s="65" t="str">
        <f t="shared" si="4"/>
        <v/>
      </c>
      <c r="I104" s="52" t="str">
        <f t="shared" si="5"/>
        <v/>
      </c>
      <c r="J104" s="40"/>
    </row>
    <row r="105" spans="2:10" x14ac:dyDescent="0.25">
      <c r="B105" s="37"/>
      <c r="C105" s="28"/>
      <c r="D105" s="28"/>
      <c r="E105" s="28"/>
      <c r="F105" s="79"/>
      <c r="G105" s="81" t="str">
        <f t="shared" si="3"/>
        <v/>
      </c>
      <c r="H105" s="68" t="str">
        <f t="shared" si="4"/>
        <v/>
      </c>
      <c r="I105" s="60" t="str">
        <f t="shared" si="5"/>
        <v/>
      </c>
      <c r="J105" s="40"/>
    </row>
    <row r="106" spans="2:10" x14ac:dyDescent="0.25">
      <c r="B106" s="37"/>
      <c r="C106" s="28"/>
      <c r="D106" s="28"/>
      <c r="E106" s="28"/>
      <c r="F106" s="79"/>
      <c r="G106" s="80" t="str">
        <f t="shared" si="3"/>
        <v/>
      </c>
      <c r="H106" s="65" t="str">
        <f t="shared" si="4"/>
        <v/>
      </c>
      <c r="I106" s="52" t="str">
        <f t="shared" si="5"/>
        <v/>
      </c>
      <c r="J106" s="40"/>
    </row>
    <row r="107" spans="2:10" x14ac:dyDescent="0.25">
      <c r="B107" s="37"/>
      <c r="C107" s="28"/>
      <c r="D107" s="28"/>
      <c r="E107" s="28"/>
      <c r="F107" s="79"/>
      <c r="G107" s="81" t="str">
        <f t="shared" si="3"/>
        <v/>
      </c>
      <c r="H107" s="68" t="str">
        <f t="shared" si="4"/>
        <v/>
      </c>
      <c r="I107" s="60" t="str">
        <f t="shared" si="5"/>
        <v/>
      </c>
      <c r="J107" s="40"/>
    </row>
    <row r="108" spans="2:10" x14ac:dyDescent="0.25">
      <c r="B108" s="37"/>
      <c r="C108" s="28"/>
      <c r="D108" s="28"/>
      <c r="E108" s="28"/>
      <c r="F108" s="79"/>
      <c r="G108" s="80" t="str">
        <f t="shared" si="3"/>
        <v/>
      </c>
      <c r="H108" s="65" t="str">
        <f t="shared" si="4"/>
        <v/>
      </c>
      <c r="I108" s="52" t="str">
        <f t="shared" si="5"/>
        <v/>
      </c>
      <c r="J108" s="40"/>
    </row>
    <row r="109" spans="2:10" x14ac:dyDescent="0.25">
      <c r="B109" s="37"/>
      <c r="C109" s="28"/>
      <c r="D109" s="28"/>
      <c r="E109" s="28"/>
      <c r="F109" s="79"/>
      <c r="G109" s="81" t="str">
        <f t="shared" si="3"/>
        <v/>
      </c>
      <c r="H109" s="68" t="str">
        <f t="shared" si="4"/>
        <v/>
      </c>
      <c r="I109" s="60" t="str">
        <f t="shared" si="5"/>
        <v/>
      </c>
      <c r="J109" s="40"/>
    </row>
    <row r="110" spans="2:10" x14ac:dyDescent="0.25">
      <c r="B110" s="37"/>
      <c r="C110" s="28"/>
      <c r="D110" s="28"/>
      <c r="E110" s="28"/>
      <c r="F110" s="79"/>
      <c r="G110" s="80" t="str">
        <f t="shared" si="3"/>
        <v/>
      </c>
      <c r="H110" s="65" t="str">
        <f t="shared" si="4"/>
        <v/>
      </c>
      <c r="I110" s="52" t="str">
        <f t="shared" si="5"/>
        <v/>
      </c>
      <c r="J110" s="40"/>
    </row>
    <row r="111" spans="2:10" x14ac:dyDescent="0.25">
      <c r="B111" s="37"/>
      <c r="C111" s="28"/>
      <c r="D111" s="28"/>
      <c r="E111" s="28"/>
      <c r="F111" s="79"/>
      <c r="G111" s="81" t="str">
        <f t="shared" si="3"/>
        <v/>
      </c>
      <c r="H111" s="68" t="str">
        <f t="shared" si="4"/>
        <v/>
      </c>
      <c r="I111" s="60" t="str">
        <f t="shared" si="5"/>
        <v/>
      </c>
      <c r="J111" s="40"/>
    </row>
    <row r="112" spans="2:10" x14ac:dyDescent="0.25">
      <c r="B112" s="37"/>
      <c r="C112" s="28"/>
      <c r="D112" s="28"/>
      <c r="E112" s="28"/>
      <c r="F112" s="79"/>
      <c r="G112" s="80" t="str">
        <f t="shared" si="3"/>
        <v/>
      </c>
      <c r="H112" s="65" t="str">
        <f t="shared" si="4"/>
        <v/>
      </c>
      <c r="I112" s="52" t="str">
        <f t="shared" si="5"/>
        <v/>
      </c>
      <c r="J112" s="40"/>
    </row>
    <row r="113" spans="2:10" x14ac:dyDescent="0.25">
      <c r="B113" s="37"/>
      <c r="C113" s="28"/>
      <c r="D113" s="28"/>
      <c r="E113" s="28"/>
      <c r="F113" s="79"/>
      <c r="G113" s="81" t="str">
        <f t="shared" si="3"/>
        <v/>
      </c>
      <c r="H113" s="68" t="str">
        <f t="shared" si="4"/>
        <v/>
      </c>
      <c r="I113" s="60" t="str">
        <f t="shared" si="5"/>
        <v/>
      </c>
      <c r="J113" s="40"/>
    </row>
    <row r="114" spans="2:10" x14ac:dyDescent="0.25">
      <c r="B114" s="37"/>
      <c r="C114" s="28"/>
      <c r="D114" s="28"/>
      <c r="E114" s="28"/>
      <c r="F114" s="79"/>
      <c r="G114" s="80" t="str">
        <f t="shared" si="3"/>
        <v/>
      </c>
      <c r="H114" s="65" t="str">
        <f t="shared" si="4"/>
        <v/>
      </c>
      <c r="I114" s="52" t="str">
        <f t="shared" si="5"/>
        <v/>
      </c>
      <c r="J114" s="40"/>
    </row>
    <row r="115" spans="2:10" x14ac:dyDescent="0.25">
      <c r="B115" s="37"/>
      <c r="C115" s="28"/>
      <c r="D115" s="28"/>
      <c r="E115" s="28"/>
      <c r="F115" s="79"/>
      <c r="G115" s="81" t="str">
        <f t="shared" si="3"/>
        <v/>
      </c>
      <c r="H115" s="68" t="str">
        <f t="shared" si="4"/>
        <v/>
      </c>
      <c r="I115" s="60" t="str">
        <f t="shared" si="5"/>
        <v/>
      </c>
      <c r="J115" s="40"/>
    </row>
    <row r="116" spans="2:10" x14ac:dyDescent="0.25">
      <c r="B116" s="37"/>
      <c r="C116" s="28"/>
      <c r="D116" s="28"/>
      <c r="E116" s="28"/>
      <c r="F116" s="79"/>
      <c r="G116" s="80" t="str">
        <f t="shared" si="3"/>
        <v/>
      </c>
      <c r="H116" s="65" t="str">
        <f t="shared" si="4"/>
        <v/>
      </c>
      <c r="I116" s="52" t="str">
        <f t="shared" si="5"/>
        <v/>
      </c>
      <c r="J116" s="40"/>
    </row>
    <row r="117" spans="2:10" x14ac:dyDescent="0.25">
      <c r="B117" s="37"/>
      <c r="C117" s="28"/>
      <c r="D117" s="28"/>
      <c r="E117" s="28"/>
      <c r="F117" s="79"/>
      <c r="G117" s="81" t="str">
        <f t="shared" si="3"/>
        <v/>
      </c>
      <c r="H117" s="68" t="str">
        <f t="shared" si="4"/>
        <v/>
      </c>
      <c r="I117" s="60" t="str">
        <f t="shared" si="5"/>
        <v/>
      </c>
      <c r="J117" s="40"/>
    </row>
    <row r="118" spans="2:10" x14ac:dyDescent="0.25">
      <c r="B118" s="37"/>
      <c r="C118" s="28"/>
      <c r="D118" s="28"/>
      <c r="E118" s="28"/>
      <c r="F118" s="79"/>
      <c r="G118" s="80" t="str">
        <f t="shared" si="3"/>
        <v/>
      </c>
      <c r="H118" s="65" t="str">
        <f t="shared" si="4"/>
        <v/>
      </c>
      <c r="I118" s="52" t="str">
        <f t="shared" si="5"/>
        <v/>
      </c>
      <c r="J118" s="40"/>
    </row>
    <row r="119" spans="2:10" x14ac:dyDescent="0.25">
      <c r="B119" s="37"/>
      <c r="C119" s="28"/>
      <c r="D119" s="28"/>
      <c r="E119" s="28"/>
      <c r="F119" s="79"/>
      <c r="G119" s="81" t="str">
        <f t="shared" si="3"/>
        <v/>
      </c>
      <c r="H119" s="68" t="str">
        <f t="shared" si="4"/>
        <v/>
      </c>
      <c r="I119" s="60" t="str">
        <f t="shared" si="5"/>
        <v/>
      </c>
      <c r="J119" s="40"/>
    </row>
    <row r="120" spans="2:10" x14ac:dyDescent="0.25">
      <c r="B120" s="37"/>
      <c r="C120" s="28"/>
      <c r="D120" s="28"/>
      <c r="E120" s="28"/>
      <c r="F120" s="79"/>
      <c r="G120" s="80" t="str">
        <f t="shared" si="3"/>
        <v/>
      </c>
      <c r="H120" s="65" t="str">
        <f t="shared" si="4"/>
        <v/>
      </c>
      <c r="I120" s="52" t="str">
        <f t="shared" si="5"/>
        <v/>
      </c>
      <c r="J120" s="40"/>
    </row>
    <row r="121" spans="2:10" x14ac:dyDescent="0.25">
      <c r="B121" s="37"/>
      <c r="C121" s="28"/>
      <c r="D121" s="28"/>
      <c r="E121" s="28"/>
      <c r="F121" s="79"/>
      <c r="G121" s="81" t="str">
        <f t="shared" si="3"/>
        <v/>
      </c>
      <c r="H121" s="68" t="str">
        <f t="shared" si="4"/>
        <v/>
      </c>
      <c r="I121" s="60" t="str">
        <f t="shared" si="5"/>
        <v/>
      </c>
      <c r="J121" s="40"/>
    </row>
    <row r="122" spans="2:10" x14ac:dyDescent="0.25">
      <c r="B122" s="37"/>
      <c r="C122" s="28"/>
      <c r="D122" s="28"/>
      <c r="E122" s="28"/>
      <c r="F122" s="79"/>
      <c r="G122" s="80" t="str">
        <f t="shared" si="3"/>
        <v/>
      </c>
      <c r="H122" s="65" t="str">
        <f t="shared" si="4"/>
        <v/>
      </c>
      <c r="I122" s="52" t="str">
        <f t="shared" si="5"/>
        <v/>
      </c>
      <c r="J122" s="40"/>
    </row>
    <row r="123" spans="2:10" x14ac:dyDescent="0.25">
      <c r="B123" s="37"/>
      <c r="C123" s="28"/>
      <c r="D123" s="28"/>
      <c r="E123" s="28"/>
      <c r="F123" s="79"/>
      <c r="G123" s="81" t="str">
        <f t="shared" si="3"/>
        <v/>
      </c>
      <c r="H123" s="68" t="str">
        <f t="shared" si="4"/>
        <v/>
      </c>
      <c r="I123" s="60" t="str">
        <f t="shared" si="5"/>
        <v/>
      </c>
      <c r="J123" s="40"/>
    </row>
    <row r="124" spans="2:10" x14ac:dyDescent="0.25">
      <c r="B124" s="37"/>
      <c r="C124" s="28"/>
      <c r="D124" s="28"/>
      <c r="E124" s="28"/>
      <c r="F124" s="79"/>
      <c r="G124" s="80" t="str">
        <f t="shared" si="3"/>
        <v/>
      </c>
      <c r="H124" s="65" t="str">
        <f t="shared" si="4"/>
        <v/>
      </c>
      <c r="I124" s="52" t="str">
        <f t="shared" si="5"/>
        <v/>
      </c>
      <c r="J124" s="40"/>
    </row>
    <row r="125" spans="2:10" x14ac:dyDescent="0.25">
      <c r="B125" s="37"/>
      <c r="C125" s="28"/>
      <c r="D125" s="28"/>
      <c r="E125" s="28"/>
      <c r="F125" s="79"/>
      <c r="G125" s="81" t="str">
        <f t="shared" si="3"/>
        <v/>
      </c>
      <c r="H125" s="68" t="str">
        <f t="shared" si="4"/>
        <v/>
      </c>
      <c r="I125" s="60" t="str">
        <f t="shared" si="5"/>
        <v/>
      </c>
      <c r="J125" s="40"/>
    </row>
    <row r="126" spans="2:10" x14ac:dyDescent="0.25">
      <c r="B126" s="37"/>
      <c r="C126" s="28"/>
      <c r="D126" s="28"/>
      <c r="E126" s="28"/>
      <c r="F126" s="79"/>
      <c r="G126" s="80" t="str">
        <f t="shared" si="3"/>
        <v/>
      </c>
      <c r="H126" s="65" t="str">
        <f t="shared" si="4"/>
        <v/>
      </c>
      <c r="I126" s="52" t="str">
        <f t="shared" si="5"/>
        <v/>
      </c>
      <c r="J126" s="40"/>
    </row>
    <row r="127" spans="2:10" x14ac:dyDescent="0.25">
      <c r="B127" s="37"/>
      <c r="C127" s="28"/>
      <c r="D127" s="28"/>
      <c r="E127" s="28"/>
      <c r="F127" s="79"/>
      <c r="G127" s="81" t="str">
        <f t="shared" si="3"/>
        <v/>
      </c>
      <c r="H127" s="68" t="str">
        <f t="shared" si="4"/>
        <v/>
      </c>
      <c r="I127" s="60" t="str">
        <f t="shared" si="5"/>
        <v/>
      </c>
      <c r="J127" s="40"/>
    </row>
    <row r="128" spans="2:10" x14ac:dyDescent="0.25">
      <c r="B128" s="37"/>
      <c r="C128" s="28"/>
      <c r="D128" s="28"/>
      <c r="E128" s="28"/>
      <c r="F128" s="79"/>
      <c r="G128" s="80" t="str">
        <f t="shared" si="3"/>
        <v/>
      </c>
      <c r="H128" s="65" t="str">
        <f t="shared" si="4"/>
        <v/>
      </c>
      <c r="I128" s="52" t="str">
        <f t="shared" si="5"/>
        <v/>
      </c>
      <c r="J128" s="40"/>
    </row>
    <row r="129" spans="2:10" x14ac:dyDescent="0.25">
      <c r="B129" s="37"/>
      <c r="C129" s="28"/>
      <c r="D129" s="28"/>
      <c r="E129" s="28"/>
      <c r="F129" s="79"/>
      <c r="G129" s="81" t="str">
        <f t="shared" si="3"/>
        <v/>
      </c>
      <c r="H129" s="68" t="str">
        <f t="shared" si="4"/>
        <v/>
      </c>
      <c r="I129" s="60" t="str">
        <f t="shared" si="5"/>
        <v/>
      </c>
      <c r="J129" s="40"/>
    </row>
    <row r="130" spans="2:10" x14ac:dyDescent="0.25">
      <c r="B130" s="37"/>
      <c r="C130" s="28"/>
      <c r="D130" s="28"/>
      <c r="E130" s="28"/>
      <c r="F130" s="79"/>
      <c r="G130" s="80" t="str">
        <f t="shared" si="3"/>
        <v/>
      </c>
      <c r="H130" s="65" t="str">
        <f t="shared" si="4"/>
        <v/>
      </c>
      <c r="I130" s="52" t="str">
        <f t="shared" si="5"/>
        <v/>
      </c>
      <c r="J130" s="40"/>
    </row>
    <row r="131" spans="2:10" x14ac:dyDescent="0.25">
      <c r="B131" s="37"/>
      <c r="C131" s="28"/>
      <c r="D131" s="28"/>
      <c r="E131" s="28"/>
      <c r="F131" s="79"/>
      <c r="G131" s="81" t="str">
        <f t="shared" si="3"/>
        <v/>
      </c>
      <c r="H131" s="68" t="str">
        <f t="shared" si="4"/>
        <v/>
      </c>
      <c r="I131" s="60" t="str">
        <f t="shared" si="5"/>
        <v/>
      </c>
      <c r="J131" s="40"/>
    </row>
    <row r="132" spans="2:10" x14ac:dyDescent="0.25">
      <c r="B132" s="37"/>
      <c r="C132" s="28"/>
      <c r="D132" s="28"/>
      <c r="E132" s="28"/>
      <c r="F132" s="79"/>
      <c r="G132" s="80" t="str">
        <f t="shared" si="3"/>
        <v/>
      </c>
      <c r="H132" s="65" t="str">
        <f t="shared" si="4"/>
        <v/>
      </c>
      <c r="I132" s="52" t="str">
        <f t="shared" si="5"/>
        <v/>
      </c>
      <c r="J132" s="40"/>
    </row>
    <row r="133" spans="2:10" x14ac:dyDescent="0.25">
      <c r="B133" s="37"/>
      <c r="C133" s="28"/>
      <c r="D133" s="28"/>
      <c r="E133" s="28"/>
      <c r="F133" s="79"/>
      <c r="G133" s="81" t="str">
        <f t="shared" si="3"/>
        <v/>
      </c>
      <c r="H133" s="68" t="str">
        <f t="shared" si="4"/>
        <v/>
      </c>
      <c r="I133" s="60" t="str">
        <f t="shared" si="5"/>
        <v/>
      </c>
      <c r="J133" s="40"/>
    </row>
    <row r="134" spans="2:10" x14ac:dyDescent="0.25">
      <c r="B134" s="37"/>
      <c r="C134" s="28"/>
      <c r="D134" s="28"/>
      <c r="E134" s="28"/>
      <c r="F134" s="79"/>
      <c r="G134" s="80" t="str">
        <f t="shared" si="3"/>
        <v/>
      </c>
      <c r="H134" s="65" t="str">
        <f t="shared" si="4"/>
        <v/>
      </c>
      <c r="I134" s="52" t="str">
        <f t="shared" si="5"/>
        <v/>
      </c>
      <c r="J134" s="40"/>
    </row>
    <row r="135" spans="2:10" x14ac:dyDescent="0.25">
      <c r="B135" s="37"/>
      <c r="C135" s="28"/>
      <c r="D135" s="28"/>
      <c r="E135" s="28"/>
      <c r="F135" s="79"/>
      <c r="G135" s="81" t="str">
        <f t="shared" si="3"/>
        <v/>
      </c>
      <c r="H135" s="68" t="str">
        <f t="shared" si="4"/>
        <v/>
      </c>
      <c r="I135" s="60" t="str">
        <f t="shared" si="5"/>
        <v/>
      </c>
      <c r="J135" s="40"/>
    </row>
    <row r="136" spans="2:10" x14ac:dyDescent="0.25">
      <c r="B136" s="37"/>
      <c r="C136" s="28"/>
      <c r="D136" s="28"/>
      <c r="E136" s="28"/>
      <c r="F136" s="79"/>
      <c r="G136" s="80" t="str">
        <f t="shared" ref="G136:G199" si="6">IF($B136="","",IFERROR(INDEX(TR_Value,MATCH(1,INDEX((ISNUMBER(SEARCH("mileage_business",TR_Id)))*(TR_From&lt;=$B136)*(TR_To&gt;=$B136),0),0)),"NO RATE"))</f>
        <v/>
      </c>
      <c r="H136" s="65" t="str">
        <f t="shared" ref="H136:H199" si="7">IF(OR($B136="",N($F136)=0),"",IF(NOT(ISNUMBER($G136)),"REVIEW - no 2026 rate for this date",ROUND($F136*$G136,2)))</f>
        <v/>
      </c>
      <c r="I136" s="52" t="str">
        <f t="shared" ref="I136:I199" si="8">IF($B136="","",IFERROR(INDEX(TR_Id,MATCH(1,INDEX((ISNUMBER(SEARCH("mileage_business",TR_Id)))*(TR_From&lt;=$B136)*(TR_To&gt;=$B136),0),0)),"outside 2026"))</f>
        <v/>
      </c>
      <c r="J136" s="40"/>
    </row>
    <row r="137" spans="2:10" x14ac:dyDescent="0.25">
      <c r="B137" s="37"/>
      <c r="C137" s="28"/>
      <c r="D137" s="28"/>
      <c r="E137" s="28"/>
      <c r="F137" s="79"/>
      <c r="G137" s="81" t="str">
        <f t="shared" si="6"/>
        <v/>
      </c>
      <c r="H137" s="68" t="str">
        <f t="shared" si="7"/>
        <v/>
      </c>
      <c r="I137" s="60" t="str">
        <f t="shared" si="8"/>
        <v/>
      </c>
      <c r="J137" s="40"/>
    </row>
    <row r="138" spans="2:10" x14ac:dyDescent="0.25">
      <c r="B138" s="37"/>
      <c r="C138" s="28"/>
      <c r="D138" s="28"/>
      <c r="E138" s="28"/>
      <c r="F138" s="79"/>
      <c r="G138" s="80" t="str">
        <f t="shared" si="6"/>
        <v/>
      </c>
      <c r="H138" s="65" t="str">
        <f t="shared" si="7"/>
        <v/>
      </c>
      <c r="I138" s="52" t="str">
        <f t="shared" si="8"/>
        <v/>
      </c>
      <c r="J138" s="40"/>
    </row>
    <row r="139" spans="2:10" x14ac:dyDescent="0.25">
      <c r="B139" s="37"/>
      <c r="C139" s="28"/>
      <c r="D139" s="28"/>
      <c r="E139" s="28"/>
      <c r="F139" s="79"/>
      <c r="G139" s="81" t="str">
        <f t="shared" si="6"/>
        <v/>
      </c>
      <c r="H139" s="68" t="str">
        <f t="shared" si="7"/>
        <v/>
      </c>
      <c r="I139" s="60" t="str">
        <f t="shared" si="8"/>
        <v/>
      </c>
      <c r="J139" s="40"/>
    </row>
    <row r="140" spans="2:10" x14ac:dyDescent="0.25">
      <c r="B140" s="37"/>
      <c r="C140" s="28"/>
      <c r="D140" s="28"/>
      <c r="E140" s="28"/>
      <c r="F140" s="79"/>
      <c r="G140" s="80" t="str">
        <f t="shared" si="6"/>
        <v/>
      </c>
      <c r="H140" s="65" t="str">
        <f t="shared" si="7"/>
        <v/>
      </c>
      <c r="I140" s="52" t="str">
        <f t="shared" si="8"/>
        <v/>
      </c>
      <c r="J140" s="40"/>
    </row>
    <row r="141" spans="2:10" x14ac:dyDescent="0.25">
      <c r="B141" s="37"/>
      <c r="C141" s="28"/>
      <c r="D141" s="28"/>
      <c r="E141" s="28"/>
      <c r="F141" s="79"/>
      <c r="G141" s="81" t="str">
        <f t="shared" si="6"/>
        <v/>
      </c>
      <c r="H141" s="68" t="str">
        <f t="shared" si="7"/>
        <v/>
      </c>
      <c r="I141" s="60" t="str">
        <f t="shared" si="8"/>
        <v/>
      </c>
      <c r="J141" s="40"/>
    </row>
    <row r="142" spans="2:10" x14ac:dyDescent="0.25">
      <c r="B142" s="37"/>
      <c r="C142" s="28"/>
      <c r="D142" s="28"/>
      <c r="E142" s="28"/>
      <c r="F142" s="79"/>
      <c r="G142" s="80" t="str">
        <f t="shared" si="6"/>
        <v/>
      </c>
      <c r="H142" s="65" t="str">
        <f t="shared" si="7"/>
        <v/>
      </c>
      <c r="I142" s="52" t="str">
        <f t="shared" si="8"/>
        <v/>
      </c>
      <c r="J142" s="40"/>
    </row>
    <row r="143" spans="2:10" x14ac:dyDescent="0.25">
      <c r="B143" s="37"/>
      <c r="C143" s="28"/>
      <c r="D143" s="28"/>
      <c r="E143" s="28"/>
      <c r="F143" s="79"/>
      <c r="G143" s="81" t="str">
        <f t="shared" si="6"/>
        <v/>
      </c>
      <c r="H143" s="68" t="str">
        <f t="shared" si="7"/>
        <v/>
      </c>
      <c r="I143" s="60" t="str">
        <f t="shared" si="8"/>
        <v/>
      </c>
      <c r="J143" s="40"/>
    </row>
    <row r="144" spans="2:10" x14ac:dyDescent="0.25">
      <c r="B144" s="37"/>
      <c r="C144" s="28"/>
      <c r="D144" s="28"/>
      <c r="E144" s="28"/>
      <c r="F144" s="79"/>
      <c r="G144" s="80" t="str">
        <f t="shared" si="6"/>
        <v/>
      </c>
      <c r="H144" s="65" t="str">
        <f t="shared" si="7"/>
        <v/>
      </c>
      <c r="I144" s="52" t="str">
        <f t="shared" si="8"/>
        <v/>
      </c>
      <c r="J144" s="40"/>
    </row>
    <row r="145" spans="2:10" x14ac:dyDescent="0.25">
      <c r="B145" s="37"/>
      <c r="C145" s="28"/>
      <c r="D145" s="28"/>
      <c r="E145" s="28"/>
      <c r="F145" s="79"/>
      <c r="G145" s="81" t="str">
        <f t="shared" si="6"/>
        <v/>
      </c>
      <c r="H145" s="68" t="str">
        <f t="shared" si="7"/>
        <v/>
      </c>
      <c r="I145" s="60" t="str">
        <f t="shared" si="8"/>
        <v/>
      </c>
      <c r="J145" s="40"/>
    </row>
    <row r="146" spans="2:10" x14ac:dyDescent="0.25">
      <c r="B146" s="37"/>
      <c r="C146" s="28"/>
      <c r="D146" s="28"/>
      <c r="E146" s="28"/>
      <c r="F146" s="79"/>
      <c r="G146" s="80" t="str">
        <f t="shared" si="6"/>
        <v/>
      </c>
      <c r="H146" s="65" t="str">
        <f t="shared" si="7"/>
        <v/>
      </c>
      <c r="I146" s="52" t="str">
        <f t="shared" si="8"/>
        <v/>
      </c>
      <c r="J146" s="40"/>
    </row>
    <row r="147" spans="2:10" x14ac:dyDescent="0.25">
      <c r="B147" s="37"/>
      <c r="C147" s="28"/>
      <c r="D147" s="28"/>
      <c r="E147" s="28"/>
      <c r="F147" s="79"/>
      <c r="G147" s="81" t="str">
        <f t="shared" si="6"/>
        <v/>
      </c>
      <c r="H147" s="68" t="str">
        <f t="shared" si="7"/>
        <v/>
      </c>
      <c r="I147" s="60" t="str">
        <f t="shared" si="8"/>
        <v/>
      </c>
      <c r="J147" s="40"/>
    </row>
    <row r="148" spans="2:10" x14ac:dyDescent="0.25">
      <c r="B148" s="37"/>
      <c r="C148" s="28"/>
      <c r="D148" s="28"/>
      <c r="E148" s="28"/>
      <c r="F148" s="79"/>
      <c r="G148" s="80" t="str">
        <f t="shared" si="6"/>
        <v/>
      </c>
      <c r="H148" s="65" t="str">
        <f t="shared" si="7"/>
        <v/>
      </c>
      <c r="I148" s="52" t="str">
        <f t="shared" si="8"/>
        <v/>
      </c>
      <c r="J148" s="40"/>
    </row>
    <row r="149" spans="2:10" x14ac:dyDescent="0.25">
      <c r="B149" s="37"/>
      <c r="C149" s="28"/>
      <c r="D149" s="28"/>
      <c r="E149" s="28"/>
      <c r="F149" s="79"/>
      <c r="G149" s="81" t="str">
        <f t="shared" si="6"/>
        <v/>
      </c>
      <c r="H149" s="68" t="str">
        <f t="shared" si="7"/>
        <v/>
      </c>
      <c r="I149" s="60" t="str">
        <f t="shared" si="8"/>
        <v/>
      </c>
      <c r="J149" s="40"/>
    </row>
    <row r="150" spans="2:10" x14ac:dyDescent="0.25">
      <c r="B150" s="37"/>
      <c r="C150" s="28"/>
      <c r="D150" s="28"/>
      <c r="E150" s="28"/>
      <c r="F150" s="79"/>
      <c r="G150" s="80" t="str">
        <f t="shared" si="6"/>
        <v/>
      </c>
      <c r="H150" s="65" t="str">
        <f t="shared" si="7"/>
        <v/>
      </c>
      <c r="I150" s="52" t="str">
        <f t="shared" si="8"/>
        <v/>
      </c>
      <c r="J150" s="40"/>
    </row>
    <row r="151" spans="2:10" x14ac:dyDescent="0.25">
      <c r="B151" s="37"/>
      <c r="C151" s="28"/>
      <c r="D151" s="28"/>
      <c r="E151" s="28"/>
      <c r="F151" s="79"/>
      <c r="G151" s="81" t="str">
        <f t="shared" si="6"/>
        <v/>
      </c>
      <c r="H151" s="68" t="str">
        <f t="shared" si="7"/>
        <v/>
      </c>
      <c r="I151" s="60" t="str">
        <f t="shared" si="8"/>
        <v/>
      </c>
      <c r="J151" s="40"/>
    </row>
    <row r="152" spans="2:10" x14ac:dyDescent="0.25">
      <c r="B152" s="37"/>
      <c r="C152" s="28"/>
      <c r="D152" s="28"/>
      <c r="E152" s="28"/>
      <c r="F152" s="79"/>
      <c r="G152" s="80" t="str">
        <f t="shared" si="6"/>
        <v/>
      </c>
      <c r="H152" s="65" t="str">
        <f t="shared" si="7"/>
        <v/>
      </c>
      <c r="I152" s="52" t="str">
        <f t="shared" si="8"/>
        <v/>
      </c>
      <c r="J152" s="40"/>
    </row>
    <row r="153" spans="2:10" x14ac:dyDescent="0.25">
      <c r="B153" s="37"/>
      <c r="C153" s="28"/>
      <c r="D153" s="28"/>
      <c r="E153" s="28"/>
      <c r="F153" s="79"/>
      <c r="G153" s="81" t="str">
        <f t="shared" si="6"/>
        <v/>
      </c>
      <c r="H153" s="68" t="str">
        <f t="shared" si="7"/>
        <v/>
      </c>
      <c r="I153" s="60" t="str">
        <f t="shared" si="8"/>
        <v/>
      </c>
      <c r="J153" s="40"/>
    </row>
    <row r="154" spans="2:10" x14ac:dyDescent="0.25">
      <c r="B154" s="37"/>
      <c r="C154" s="28"/>
      <c r="D154" s="28"/>
      <c r="E154" s="28"/>
      <c r="F154" s="79"/>
      <c r="G154" s="80" t="str">
        <f t="shared" si="6"/>
        <v/>
      </c>
      <c r="H154" s="65" t="str">
        <f t="shared" si="7"/>
        <v/>
      </c>
      <c r="I154" s="52" t="str">
        <f t="shared" si="8"/>
        <v/>
      </c>
      <c r="J154" s="40"/>
    </row>
    <row r="155" spans="2:10" x14ac:dyDescent="0.25">
      <c r="B155" s="37"/>
      <c r="C155" s="28"/>
      <c r="D155" s="28"/>
      <c r="E155" s="28"/>
      <c r="F155" s="79"/>
      <c r="G155" s="81" t="str">
        <f t="shared" si="6"/>
        <v/>
      </c>
      <c r="H155" s="68" t="str">
        <f t="shared" si="7"/>
        <v/>
      </c>
      <c r="I155" s="60" t="str">
        <f t="shared" si="8"/>
        <v/>
      </c>
      <c r="J155" s="40"/>
    </row>
    <row r="156" spans="2:10" x14ac:dyDescent="0.25">
      <c r="B156" s="37"/>
      <c r="C156" s="28"/>
      <c r="D156" s="28"/>
      <c r="E156" s="28"/>
      <c r="F156" s="79"/>
      <c r="G156" s="80" t="str">
        <f t="shared" si="6"/>
        <v/>
      </c>
      <c r="H156" s="65" t="str">
        <f t="shared" si="7"/>
        <v/>
      </c>
      <c r="I156" s="52" t="str">
        <f t="shared" si="8"/>
        <v/>
      </c>
      <c r="J156" s="40"/>
    </row>
    <row r="157" spans="2:10" x14ac:dyDescent="0.25">
      <c r="B157" s="37"/>
      <c r="C157" s="28"/>
      <c r="D157" s="28"/>
      <c r="E157" s="28"/>
      <c r="F157" s="79"/>
      <c r="G157" s="81" t="str">
        <f t="shared" si="6"/>
        <v/>
      </c>
      <c r="H157" s="68" t="str">
        <f t="shared" si="7"/>
        <v/>
      </c>
      <c r="I157" s="60" t="str">
        <f t="shared" si="8"/>
        <v/>
      </c>
      <c r="J157" s="40"/>
    </row>
    <row r="158" spans="2:10" x14ac:dyDescent="0.25">
      <c r="B158" s="37"/>
      <c r="C158" s="28"/>
      <c r="D158" s="28"/>
      <c r="E158" s="28"/>
      <c r="F158" s="79"/>
      <c r="G158" s="80" t="str">
        <f t="shared" si="6"/>
        <v/>
      </c>
      <c r="H158" s="65" t="str">
        <f t="shared" si="7"/>
        <v/>
      </c>
      <c r="I158" s="52" t="str">
        <f t="shared" si="8"/>
        <v/>
      </c>
      <c r="J158" s="40"/>
    </row>
    <row r="159" spans="2:10" x14ac:dyDescent="0.25">
      <c r="B159" s="37"/>
      <c r="C159" s="28"/>
      <c r="D159" s="28"/>
      <c r="E159" s="28"/>
      <c r="F159" s="79"/>
      <c r="G159" s="81" t="str">
        <f t="shared" si="6"/>
        <v/>
      </c>
      <c r="H159" s="68" t="str">
        <f t="shared" si="7"/>
        <v/>
      </c>
      <c r="I159" s="60" t="str">
        <f t="shared" si="8"/>
        <v/>
      </c>
      <c r="J159" s="40"/>
    </row>
    <row r="160" spans="2:10" x14ac:dyDescent="0.25">
      <c r="B160" s="37"/>
      <c r="C160" s="28"/>
      <c r="D160" s="28"/>
      <c r="E160" s="28"/>
      <c r="F160" s="79"/>
      <c r="G160" s="80" t="str">
        <f t="shared" si="6"/>
        <v/>
      </c>
      <c r="H160" s="65" t="str">
        <f t="shared" si="7"/>
        <v/>
      </c>
      <c r="I160" s="52" t="str">
        <f t="shared" si="8"/>
        <v/>
      </c>
      <c r="J160" s="40"/>
    </row>
    <row r="161" spans="2:10" x14ac:dyDescent="0.25">
      <c r="B161" s="37"/>
      <c r="C161" s="28"/>
      <c r="D161" s="28"/>
      <c r="E161" s="28"/>
      <c r="F161" s="79"/>
      <c r="G161" s="81" t="str">
        <f t="shared" si="6"/>
        <v/>
      </c>
      <c r="H161" s="68" t="str">
        <f t="shared" si="7"/>
        <v/>
      </c>
      <c r="I161" s="60" t="str">
        <f t="shared" si="8"/>
        <v/>
      </c>
      <c r="J161" s="40"/>
    </row>
    <row r="162" spans="2:10" x14ac:dyDescent="0.25">
      <c r="B162" s="37"/>
      <c r="C162" s="28"/>
      <c r="D162" s="28"/>
      <c r="E162" s="28"/>
      <c r="F162" s="79"/>
      <c r="G162" s="80" t="str">
        <f t="shared" si="6"/>
        <v/>
      </c>
      <c r="H162" s="65" t="str">
        <f t="shared" si="7"/>
        <v/>
      </c>
      <c r="I162" s="52" t="str">
        <f t="shared" si="8"/>
        <v/>
      </c>
      <c r="J162" s="40"/>
    </row>
    <row r="163" spans="2:10" x14ac:dyDescent="0.25">
      <c r="B163" s="37"/>
      <c r="C163" s="28"/>
      <c r="D163" s="28"/>
      <c r="E163" s="28"/>
      <c r="F163" s="79"/>
      <c r="G163" s="81" t="str">
        <f t="shared" si="6"/>
        <v/>
      </c>
      <c r="H163" s="68" t="str">
        <f t="shared" si="7"/>
        <v/>
      </c>
      <c r="I163" s="60" t="str">
        <f t="shared" si="8"/>
        <v/>
      </c>
      <c r="J163" s="40"/>
    </row>
    <row r="164" spans="2:10" x14ac:dyDescent="0.25">
      <c r="B164" s="37"/>
      <c r="C164" s="28"/>
      <c r="D164" s="28"/>
      <c r="E164" s="28"/>
      <c r="F164" s="79"/>
      <c r="G164" s="80" t="str">
        <f t="shared" si="6"/>
        <v/>
      </c>
      <c r="H164" s="65" t="str">
        <f t="shared" si="7"/>
        <v/>
      </c>
      <c r="I164" s="52" t="str">
        <f t="shared" si="8"/>
        <v/>
      </c>
      <c r="J164" s="40"/>
    </row>
    <row r="165" spans="2:10" x14ac:dyDescent="0.25">
      <c r="B165" s="37"/>
      <c r="C165" s="28"/>
      <c r="D165" s="28"/>
      <c r="E165" s="28"/>
      <c r="F165" s="79"/>
      <c r="G165" s="81" t="str">
        <f t="shared" si="6"/>
        <v/>
      </c>
      <c r="H165" s="68" t="str">
        <f t="shared" si="7"/>
        <v/>
      </c>
      <c r="I165" s="60" t="str">
        <f t="shared" si="8"/>
        <v/>
      </c>
      <c r="J165" s="40"/>
    </row>
    <row r="166" spans="2:10" x14ac:dyDescent="0.25">
      <c r="B166" s="37"/>
      <c r="C166" s="28"/>
      <c r="D166" s="28"/>
      <c r="E166" s="28"/>
      <c r="F166" s="79"/>
      <c r="G166" s="80" t="str">
        <f t="shared" si="6"/>
        <v/>
      </c>
      <c r="H166" s="65" t="str">
        <f t="shared" si="7"/>
        <v/>
      </c>
      <c r="I166" s="52" t="str">
        <f t="shared" si="8"/>
        <v/>
      </c>
      <c r="J166" s="40"/>
    </row>
    <row r="167" spans="2:10" x14ac:dyDescent="0.25">
      <c r="B167" s="37"/>
      <c r="C167" s="28"/>
      <c r="D167" s="28"/>
      <c r="E167" s="28"/>
      <c r="F167" s="79"/>
      <c r="G167" s="81" t="str">
        <f t="shared" si="6"/>
        <v/>
      </c>
      <c r="H167" s="68" t="str">
        <f t="shared" si="7"/>
        <v/>
      </c>
      <c r="I167" s="60" t="str">
        <f t="shared" si="8"/>
        <v/>
      </c>
      <c r="J167" s="40"/>
    </row>
    <row r="168" spans="2:10" x14ac:dyDescent="0.25">
      <c r="B168" s="37"/>
      <c r="C168" s="28"/>
      <c r="D168" s="28"/>
      <c r="E168" s="28"/>
      <c r="F168" s="79"/>
      <c r="G168" s="80" t="str">
        <f t="shared" si="6"/>
        <v/>
      </c>
      <c r="H168" s="65" t="str">
        <f t="shared" si="7"/>
        <v/>
      </c>
      <c r="I168" s="52" t="str">
        <f t="shared" si="8"/>
        <v/>
      </c>
      <c r="J168" s="40"/>
    </row>
    <row r="169" spans="2:10" x14ac:dyDescent="0.25">
      <c r="B169" s="37"/>
      <c r="C169" s="28"/>
      <c r="D169" s="28"/>
      <c r="E169" s="28"/>
      <c r="F169" s="79"/>
      <c r="G169" s="81" t="str">
        <f t="shared" si="6"/>
        <v/>
      </c>
      <c r="H169" s="68" t="str">
        <f t="shared" si="7"/>
        <v/>
      </c>
      <c r="I169" s="60" t="str">
        <f t="shared" si="8"/>
        <v/>
      </c>
      <c r="J169" s="40"/>
    </row>
    <row r="170" spans="2:10" x14ac:dyDescent="0.25">
      <c r="B170" s="37"/>
      <c r="C170" s="28"/>
      <c r="D170" s="28"/>
      <c r="E170" s="28"/>
      <c r="F170" s="79"/>
      <c r="G170" s="80" t="str">
        <f t="shared" si="6"/>
        <v/>
      </c>
      <c r="H170" s="65" t="str">
        <f t="shared" si="7"/>
        <v/>
      </c>
      <c r="I170" s="52" t="str">
        <f t="shared" si="8"/>
        <v/>
      </c>
      <c r="J170" s="40"/>
    </row>
    <row r="171" spans="2:10" x14ac:dyDescent="0.25">
      <c r="B171" s="37"/>
      <c r="C171" s="28"/>
      <c r="D171" s="28"/>
      <c r="E171" s="28"/>
      <c r="F171" s="79"/>
      <c r="G171" s="81" t="str">
        <f t="shared" si="6"/>
        <v/>
      </c>
      <c r="H171" s="68" t="str">
        <f t="shared" si="7"/>
        <v/>
      </c>
      <c r="I171" s="60" t="str">
        <f t="shared" si="8"/>
        <v/>
      </c>
      <c r="J171" s="40"/>
    </row>
    <row r="172" spans="2:10" x14ac:dyDescent="0.25">
      <c r="B172" s="37"/>
      <c r="C172" s="28"/>
      <c r="D172" s="28"/>
      <c r="E172" s="28"/>
      <c r="F172" s="79"/>
      <c r="G172" s="80" t="str">
        <f t="shared" si="6"/>
        <v/>
      </c>
      <c r="H172" s="65" t="str">
        <f t="shared" si="7"/>
        <v/>
      </c>
      <c r="I172" s="52" t="str">
        <f t="shared" si="8"/>
        <v/>
      </c>
      <c r="J172" s="40"/>
    </row>
    <row r="173" spans="2:10" x14ac:dyDescent="0.25">
      <c r="B173" s="37"/>
      <c r="C173" s="28"/>
      <c r="D173" s="28"/>
      <c r="E173" s="28"/>
      <c r="F173" s="79"/>
      <c r="G173" s="81" t="str">
        <f t="shared" si="6"/>
        <v/>
      </c>
      <c r="H173" s="68" t="str">
        <f t="shared" si="7"/>
        <v/>
      </c>
      <c r="I173" s="60" t="str">
        <f t="shared" si="8"/>
        <v/>
      </c>
      <c r="J173" s="40"/>
    </row>
    <row r="174" spans="2:10" x14ac:dyDescent="0.25">
      <c r="B174" s="37"/>
      <c r="C174" s="28"/>
      <c r="D174" s="28"/>
      <c r="E174" s="28"/>
      <c r="F174" s="79"/>
      <c r="G174" s="80" t="str">
        <f t="shared" si="6"/>
        <v/>
      </c>
      <c r="H174" s="65" t="str">
        <f t="shared" si="7"/>
        <v/>
      </c>
      <c r="I174" s="52" t="str">
        <f t="shared" si="8"/>
        <v/>
      </c>
      <c r="J174" s="40"/>
    </row>
    <row r="175" spans="2:10" x14ac:dyDescent="0.25">
      <c r="B175" s="37"/>
      <c r="C175" s="28"/>
      <c r="D175" s="28"/>
      <c r="E175" s="28"/>
      <c r="F175" s="79"/>
      <c r="G175" s="81" t="str">
        <f t="shared" si="6"/>
        <v/>
      </c>
      <c r="H175" s="68" t="str">
        <f t="shared" si="7"/>
        <v/>
      </c>
      <c r="I175" s="60" t="str">
        <f t="shared" si="8"/>
        <v/>
      </c>
      <c r="J175" s="40"/>
    </row>
    <row r="176" spans="2:10" x14ac:dyDescent="0.25">
      <c r="B176" s="37"/>
      <c r="C176" s="28"/>
      <c r="D176" s="28"/>
      <c r="E176" s="28"/>
      <c r="F176" s="79"/>
      <c r="G176" s="80" t="str">
        <f t="shared" si="6"/>
        <v/>
      </c>
      <c r="H176" s="65" t="str">
        <f t="shared" si="7"/>
        <v/>
      </c>
      <c r="I176" s="52" t="str">
        <f t="shared" si="8"/>
        <v/>
      </c>
      <c r="J176" s="40"/>
    </row>
    <row r="177" spans="2:10" x14ac:dyDescent="0.25">
      <c r="B177" s="37"/>
      <c r="C177" s="28"/>
      <c r="D177" s="28"/>
      <c r="E177" s="28"/>
      <c r="F177" s="79"/>
      <c r="G177" s="81" t="str">
        <f t="shared" si="6"/>
        <v/>
      </c>
      <c r="H177" s="68" t="str">
        <f t="shared" si="7"/>
        <v/>
      </c>
      <c r="I177" s="60" t="str">
        <f t="shared" si="8"/>
        <v/>
      </c>
      <c r="J177" s="40"/>
    </row>
    <row r="178" spans="2:10" x14ac:dyDescent="0.25">
      <c r="B178" s="37"/>
      <c r="C178" s="28"/>
      <c r="D178" s="28"/>
      <c r="E178" s="28"/>
      <c r="F178" s="79"/>
      <c r="G178" s="80" t="str">
        <f t="shared" si="6"/>
        <v/>
      </c>
      <c r="H178" s="65" t="str">
        <f t="shared" si="7"/>
        <v/>
      </c>
      <c r="I178" s="52" t="str">
        <f t="shared" si="8"/>
        <v/>
      </c>
      <c r="J178" s="40"/>
    </row>
    <row r="179" spans="2:10" x14ac:dyDescent="0.25">
      <c r="B179" s="37"/>
      <c r="C179" s="28"/>
      <c r="D179" s="28"/>
      <c r="E179" s="28"/>
      <c r="F179" s="79"/>
      <c r="G179" s="81" t="str">
        <f t="shared" si="6"/>
        <v/>
      </c>
      <c r="H179" s="68" t="str">
        <f t="shared" si="7"/>
        <v/>
      </c>
      <c r="I179" s="60" t="str">
        <f t="shared" si="8"/>
        <v/>
      </c>
      <c r="J179" s="40"/>
    </row>
    <row r="180" spans="2:10" x14ac:dyDescent="0.25">
      <c r="B180" s="37"/>
      <c r="C180" s="28"/>
      <c r="D180" s="28"/>
      <c r="E180" s="28"/>
      <c r="F180" s="79"/>
      <c r="G180" s="80" t="str">
        <f t="shared" si="6"/>
        <v/>
      </c>
      <c r="H180" s="65" t="str">
        <f t="shared" si="7"/>
        <v/>
      </c>
      <c r="I180" s="52" t="str">
        <f t="shared" si="8"/>
        <v/>
      </c>
      <c r="J180" s="40"/>
    </row>
    <row r="181" spans="2:10" x14ac:dyDescent="0.25">
      <c r="B181" s="37"/>
      <c r="C181" s="28"/>
      <c r="D181" s="28"/>
      <c r="E181" s="28"/>
      <c r="F181" s="79"/>
      <c r="G181" s="81" t="str">
        <f t="shared" si="6"/>
        <v/>
      </c>
      <c r="H181" s="68" t="str">
        <f t="shared" si="7"/>
        <v/>
      </c>
      <c r="I181" s="60" t="str">
        <f t="shared" si="8"/>
        <v/>
      </c>
      <c r="J181" s="40"/>
    </row>
    <row r="182" spans="2:10" x14ac:dyDescent="0.25">
      <c r="B182" s="37"/>
      <c r="C182" s="28"/>
      <c r="D182" s="28"/>
      <c r="E182" s="28"/>
      <c r="F182" s="79"/>
      <c r="G182" s="80" t="str">
        <f t="shared" si="6"/>
        <v/>
      </c>
      <c r="H182" s="65" t="str">
        <f t="shared" si="7"/>
        <v/>
      </c>
      <c r="I182" s="52" t="str">
        <f t="shared" si="8"/>
        <v/>
      </c>
      <c r="J182" s="40"/>
    </row>
    <row r="183" spans="2:10" x14ac:dyDescent="0.25">
      <c r="B183" s="37"/>
      <c r="C183" s="28"/>
      <c r="D183" s="28"/>
      <c r="E183" s="28"/>
      <c r="F183" s="79"/>
      <c r="G183" s="81" t="str">
        <f t="shared" si="6"/>
        <v/>
      </c>
      <c r="H183" s="68" t="str">
        <f t="shared" si="7"/>
        <v/>
      </c>
      <c r="I183" s="60" t="str">
        <f t="shared" si="8"/>
        <v/>
      </c>
      <c r="J183" s="40"/>
    </row>
    <row r="184" spans="2:10" x14ac:dyDescent="0.25">
      <c r="B184" s="37"/>
      <c r="C184" s="28"/>
      <c r="D184" s="28"/>
      <c r="E184" s="28"/>
      <c r="F184" s="79"/>
      <c r="G184" s="80" t="str">
        <f t="shared" si="6"/>
        <v/>
      </c>
      <c r="H184" s="65" t="str">
        <f t="shared" si="7"/>
        <v/>
      </c>
      <c r="I184" s="52" t="str">
        <f t="shared" si="8"/>
        <v/>
      </c>
      <c r="J184" s="40"/>
    </row>
    <row r="185" spans="2:10" x14ac:dyDescent="0.25">
      <c r="B185" s="37"/>
      <c r="C185" s="28"/>
      <c r="D185" s="28"/>
      <c r="E185" s="28"/>
      <c r="F185" s="79"/>
      <c r="G185" s="81" t="str">
        <f t="shared" si="6"/>
        <v/>
      </c>
      <c r="H185" s="68" t="str">
        <f t="shared" si="7"/>
        <v/>
      </c>
      <c r="I185" s="60" t="str">
        <f t="shared" si="8"/>
        <v/>
      </c>
      <c r="J185" s="40"/>
    </row>
    <row r="186" spans="2:10" x14ac:dyDescent="0.25">
      <c r="B186" s="37"/>
      <c r="C186" s="28"/>
      <c r="D186" s="28"/>
      <c r="E186" s="28"/>
      <c r="F186" s="79"/>
      <c r="G186" s="80" t="str">
        <f t="shared" si="6"/>
        <v/>
      </c>
      <c r="H186" s="65" t="str">
        <f t="shared" si="7"/>
        <v/>
      </c>
      <c r="I186" s="52" t="str">
        <f t="shared" si="8"/>
        <v/>
      </c>
      <c r="J186" s="40"/>
    </row>
    <row r="187" spans="2:10" x14ac:dyDescent="0.25">
      <c r="B187" s="37"/>
      <c r="C187" s="28"/>
      <c r="D187" s="28"/>
      <c r="E187" s="28"/>
      <c r="F187" s="79"/>
      <c r="G187" s="81" t="str">
        <f t="shared" si="6"/>
        <v/>
      </c>
      <c r="H187" s="68" t="str">
        <f t="shared" si="7"/>
        <v/>
      </c>
      <c r="I187" s="60" t="str">
        <f t="shared" si="8"/>
        <v/>
      </c>
      <c r="J187" s="40"/>
    </row>
    <row r="188" spans="2:10" x14ac:dyDescent="0.25">
      <c r="B188" s="37"/>
      <c r="C188" s="28"/>
      <c r="D188" s="28"/>
      <c r="E188" s="28"/>
      <c r="F188" s="79"/>
      <c r="G188" s="80" t="str">
        <f t="shared" si="6"/>
        <v/>
      </c>
      <c r="H188" s="65" t="str">
        <f t="shared" si="7"/>
        <v/>
      </c>
      <c r="I188" s="52" t="str">
        <f t="shared" si="8"/>
        <v/>
      </c>
      <c r="J188" s="40"/>
    </row>
    <row r="189" spans="2:10" x14ac:dyDescent="0.25">
      <c r="B189" s="37"/>
      <c r="C189" s="28"/>
      <c r="D189" s="28"/>
      <c r="E189" s="28"/>
      <c r="F189" s="79"/>
      <c r="G189" s="81" t="str">
        <f t="shared" si="6"/>
        <v/>
      </c>
      <c r="H189" s="68" t="str">
        <f t="shared" si="7"/>
        <v/>
      </c>
      <c r="I189" s="60" t="str">
        <f t="shared" si="8"/>
        <v/>
      </c>
      <c r="J189" s="40"/>
    </row>
    <row r="190" spans="2:10" x14ac:dyDescent="0.25">
      <c r="B190" s="37"/>
      <c r="C190" s="28"/>
      <c r="D190" s="28"/>
      <c r="E190" s="28"/>
      <c r="F190" s="79"/>
      <c r="G190" s="80" t="str">
        <f t="shared" si="6"/>
        <v/>
      </c>
      <c r="H190" s="65" t="str">
        <f t="shared" si="7"/>
        <v/>
      </c>
      <c r="I190" s="52" t="str">
        <f t="shared" si="8"/>
        <v/>
      </c>
      <c r="J190" s="40"/>
    </row>
    <row r="191" spans="2:10" x14ac:dyDescent="0.25">
      <c r="B191" s="37"/>
      <c r="C191" s="28"/>
      <c r="D191" s="28"/>
      <c r="E191" s="28"/>
      <c r="F191" s="79"/>
      <c r="G191" s="81" t="str">
        <f t="shared" si="6"/>
        <v/>
      </c>
      <c r="H191" s="68" t="str">
        <f t="shared" si="7"/>
        <v/>
      </c>
      <c r="I191" s="60" t="str">
        <f t="shared" si="8"/>
        <v/>
      </c>
      <c r="J191" s="40"/>
    </row>
    <row r="192" spans="2:10" x14ac:dyDescent="0.25">
      <c r="B192" s="37"/>
      <c r="C192" s="28"/>
      <c r="D192" s="28"/>
      <c r="E192" s="28"/>
      <c r="F192" s="79"/>
      <c r="G192" s="80" t="str">
        <f t="shared" si="6"/>
        <v/>
      </c>
      <c r="H192" s="65" t="str">
        <f t="shared" si="7"/>
        <v/>
      </c>
      <c r="I192" s="52" t="str">
        <f t="shared" si="8"/>
        <v/>
      </c>
      <c r="J192" s="40"/>
    </row>
    <row r="193" spans="2:10" x14ac:dyDescent="0.25">
      <c r="B193" s="37"/>
      <c r="C193" s="28"/>
      <c r="D193" s="28"/>
      <c r="E193" s="28"/>
      <c r="F193" s="79"/>
      <c r="G193" s="81" t="str">
        <f t="shared" si="6"/>
        <v/>
      </c>
      <c r="H193" s="68" t="str">
        <f t="shared" si="7"/>
        <v/>
      </c>
      <c r="I193" s="60" t="str">
        <f t="shared" si="8"/>
        <v/>
      </c>
      <c r="J193" s="40"/>
    </row>
    <row r="194" spans="2:10" x14ac:dyDescent="0.25">
      <c r="B194" s="37"/>
      <c r="C194" s="28"/>
      <c r="D194" s="28"/>
      <c r="E194" s="28"/>
      <c r="F194" s="79"/>
      <c r="G194" s="80" t="str">
        <f t="shared" si="6"/>
        <v/>
      </c>
      <c r="H194" s="65" t="str">
        <f t="shared" si="7"/>
        <v/>
      </c>
      <c r="I194" s="52" t="str">
        <f t="shared" si="8"/>
        <v/>
      </c>
      <c r="J194" s="40"/>
    </row>
    <row r="195" spans="2:10" x14ac:dyDescent="0.25">
      <c r="B195" s="37"/>
      <c r="C195" s="28"/>
      <c r="D195" s="28"/>
      <c r="E195" s="28"/>
      <c r="F195" s="79"/>
      <c r="G195" s="81" t="str">
        <f t="shared" si="6"/>
        <v/>
      </c>
      <c r="H195" s="68" t="str">
        <f t="shared" si="7"/>
        <v/>
      </c>
      <c r="I195" s="60" t="str">
        <f t="shared" si="8"/>
        <v/>
      </c>
      <c r="J195" s="40"/>
    </row>
    <row r="196" spans="2:10" x14ac:dyDescent="0.25">
      <c r="B196" s="37"/>
      <c r="C196" s="28"/>
      <c r="D196" s="28"/>
      <c r="E196" s="28"/>
      <c r="F196" s="79"/>
      <c r="G196" s="80" t="str">
        <f t="shared" si="6"/>
        <v/>
      </c>
      <c r="H196" s="65" t="str">
        <f t="shared" si="7"/>
        <v/>
      </c>
      <c r="I196" s="52" t="str">
        <f t="shared" si="8"/>
        <v/>
      </c>
      <c r="J196" s="40"/>
    </row>
    <row r="197" spans="2:10" x14ac:dyDescent="0.25">
      <c r="B197" s="37"/>
      <c r="C197" s="28"/>
      <c r="D197" s="28"/>
      <c r="E197" s="28"/>
      <c r="F197" s="79"/>
      <c r="G197" s="81" t="str">
        <f t="shared" si="6"/>
        <v/>
      </c>
      <c r="H197" s="68" t="str">
        <f t="shared" si="7"/>
        <v/>
      </c>
      <c r="I197" s="60" t="str">
        <f t="shared" si="8"/>
        <v/>
      </c>
      <c r="J197" s="40"/>
    </row>
    <row r="198" spans="2:10" x14ac:dyDescent="0.25">
      <c r="B198" s="37"/>
      <c r="C198" s="28"/>
      <c r="D198" s="28"/>
      <c r="E198" s="28"/>
      <c r="F198" s="79"/>
      <c r="G198" s="80" t="str">
        <f t="shared" si="6"/>
        <v/>
      </c>
      <c r="H198" s="65" t="str">
        <f t="shared" si="7"/>
        <v/>
      </c>
      <c r="I198" s="52" t="str">
        <f t="shared" si="8"/>
        <v/>
      </c>
      <c r="J198" s="40"/>
    </row>
    <row r="199" spans="2:10" x14ac:dyDescent="0.25">
      <c r="B199" s="37"/>
      <c r="C199" s="28"/>
      <c r="D199" s="28"/>
      <c r="E199" s="28"/>
      <c r="F199" s="79"/>
      <c r="G199" s="81" t="str">
        <f t="shared" si="6"/>
        <v/>
      </c>
      <c r="H199" s="68" t="str">
        <f t="shared" si="7"/>
        <v/>
      </c>
      <c r="I199" s="60" t="str">
        <f t="shared" si="8"/>
        <v/>
      </c>
      <c r="J199" s="40"/>
    </row>
    <row r="200" spans="2:10" x14ac:dyDescent="0.25">
      <c r="B200" s="37"/>
      <c r="C200" s="28"/>
      <c r="D200" s="28"/>
      <c r="E200" s="28"/>
      <c r="F200" s="79"/>
      <c r="G200" s="80" t="str">
        <f t="shared" ref="G200:G263" si="9">IF($B200="","",IFERROR(INDEX(TR_Value,MATCH(1,INDEX((ISNUMBER(SEARCH("mileage_business",TR_Id)))*(TR_From&lt;=$B200)*(TR_To&gt;=$B200),0),0)),"NO RATE"))</f>
        <v/>
      </c>
      <c r="H200" s="65" t="str">
        <f t="shared" ref="H200:H263" si="10">IF(OR($B200="",N($F200)=0),"",IF(NOT(ISNUMBER($G200)),"REVIEW - no 2026 rate for this date",ROUND($F200*$G200,2)))</f>
        <v/>
      </c>
      <c r="I200" s="52" t="str">
        <f t="shared" ref="I200:I263" si="11">IF($B200="","",IFERROR(INDEX(TR_Id,MATCH(1,INDEX((ISNUMBER(SEARCH("mileage_business",TR_Id)))*(TR_From&lt;=$B200)*(TR_To&gt;=$B200),0),0)),"outside 2026"))</f>
        <v/>
      </c>
      <c r="J200" s="40"/>
    </row>
    <row r="201" spans="2:10" x14ac:dyDescent="0.25">
      <c r="B201" s="37"/>
      <c r="C201" s="28"/>
      <c r="D201" s="28"/>
      <c r="E201" s="28"/>
      <c r="F201" s="79"/>
      <c r="G201" s="81" t="str">
        <f t="shared" si="9"/>
        <v/>
      </c>
      <c r="H201" s="68" t="str">
        <f t="shared" si="10"/>
        <v/>
      </c>
      <c r="I201" s="60" t="str">
        <f t="shared" si="11"/>
        <v/>
      </c>
      <c r="J201" s="40"/>
    </row>
    <row r="202" spans="2:10" x14ac:dyDescent="0.25">
      <c r="B202" s="37"/>
      <c r="C202" s="28"/>
      <c r="D202" s="28"/>
      <c r="E202" s="28"/>
      <c r="F202" s="79"/>
      <c r="G202" s="80" t="str">
        <f t="shared" si="9"/>
        <v/>
      </c>
      <c r="H202" s="65" t="str">
        <f t="shared" si="10"/>
        <v/>
      </c>
      <c r="I202" s="52" t="str">
        <f t="shared" si="11"/>
        <v/>
      </c>
      <c r="J202" s="40"/>
    </row>
    <row r="203" spans="2:10" x14ac:dyDescent="0.25">
      <c r="B203" s="37"/>
      <c r="C203" s="28"/>
      <c r="D203" s="28"/>
      <c r="E203" s="28"/>
      <c r="F203" s="79"/>
      <c r="G203" s="81" t="str">
        <f t="shared" si="9"/>
        <v/>
      </c>
      <c r="H203" s="68" t="str">
        <f t="shared" si="10"/>
        <v/>
      </c>
      <c r="I203" s="60" t="str">
        <f t="shared" si="11"/>
        <v/>
      </c>
      <c r="J203" s="40"/>
    </row>
    <row r="204" spans="2:10" x14ac:dyDescent="0.25">
      <c r="B204" s="37"/>
      <c r="C204" s="28"/>
      <c r="D204" s="28"/>
      <c r="E204" s="28"/>
      <c r="F204" s="79"/>
      <c r="G204" s="80" t="str">
        <f t="shared" si="9"/>
        <v/>
      </c>
      <c r="H204" s="65" t="str">
        <f t="shared" si="10"/>
        <v/>
      </c>
      <c r="I204" s="52" t="str">
        <f t="shared" si="11"/>
        <v/>
      </c>
      <c r="J204" s="40"/>
    </row>
    <row r="205" spans="2:10" x14ac:dyDescent="0.25">
      <c r="B205" s="37"/>
      <c r="C205" s="28"/>
      <c r="D205" s="28"/>
      <c r="E205" s="28"/>
      <c r="F205" s="79"/>
      <c r="G205" s="81" t="str">
        <f t="shared" si="9"/>
        <v/>
      </c>
      <c r="H205" s="68" t="str">
        <f t="shared" si="10"/>
        <v/>
      </c>
      <c r="I205" s="60" t="str">
        <f t="shared" si="11"/>
        <v/>
      </c>
      <c r="J205" s="40"/>
    </row>
    <row r="206" spans="2:10" x14ac:dyDescent="0.25">
      <c r="B206" s="37"/>
      <c r="C206" s="28"/>
      <c r="D206" s="28"/>
      <c r="E206" s="28"/>
      <c r="F206" s="79"/>
      <c r="G206" s="80" t="str">
        <f t="shared" si="9"/>
        <v/>
      </c>
      <c r="H206" s="65" t="str">
        <f t="shared" si="10"/>
        <v/>
      </c>
      <c r="I206" s="52" t="str">
        <f t="shared" si="11"/>
        <v/>
      </c>
      <c r="J206" s="40"/>
    </row>
    <row r="207" spans="2:10" x14ac:dyDescent="0.25">
      <c r="B207" s="37"/>
      <c r="C207" s="28"/>
      <c r="D207" s="28"/>
      <c r="E207" s="28"/>
      <c r="F207" s="79"/>
      <c r="G207" s="81" t="str">
        <f t="shared" si="9"/>
        <v/>
      </c>
      <c r="H207" s="68" t="str">
        <f t="shared" si="10"/>
        <v/>
      </c>
      <c r="I207" s="60" t="str">
        <f t="shared" si="11"/>
        <v/>
      </c>
      <c r="J207" s="40"/>
    </row>
    <row r="208" spans="2:10" x14ac:dyDescent="0.25">
      <c r="B208" s="37"/>
      <c r="C208" s="28"/>
      <c r="D208" s="28"/>
      <c r="E208" s="28"/>
      <c r="F208" s="79"/>
      <c r="G208" s="80" t="str">
        <f t="shared" si="9"/>
        <v/>
      </c>
      <c r="H208" s="65" t="str">
        <f t="shared" si="10"/>
        <v/>
      </c>
      <c r="I208" s="52" t="str">
        <f t="shared" si="11"/>
        <v/>
      </c>
      <c r="J208" s="40"/>
    </row>
    <row r="209" spans="2:10" x14ac:dyDescent="0.25">
      <c r="B209" s="37"/>
      <c r="C209" s="28"/>
      <c r="D209" s="28"/>
      <c r="E209" s="28"/>
      <c r="F209" s="79"/>
      <c r="G209" s="81" t="str">
        <f t="shared" si="9"/>
        <v/>
      </c>
      <c r="H209" s="68" t="str">
        <f t="shared" si="10"/>
        <v/>
      </c>
      <c r="I209" s="60" t="str">
        <f t="shared" si="11"/>
        <v/>
      </c>
      <c r="J209" s="40"/>
    </row>
    <row r="210" spans="2:10" x14ac:dyDescent="0.25">
      <c r="B210" s="37"/>
      <c r="C210" s="28"/>
      <c r="D210" s="28"/>
      <c r="E210" s="28"/>
      <c r="F210" s="79"/>
      <c r="G210" s="80" t="str">
        <f t="shared" si="9"/>
        <v/>
      </c>
      <c r="H210" s="65" t="str">
        <f t="shared" si="10"/>
        <v/>
      </c>
      <c r="I210" s="52" t="str">
        <f t="shared" si="11"/>
        <v/>
      </c>
      <c r="J210" s="40"/>
    </row>
    <row r="211" spans="2:10" x14ac:dyDescent="0.25">
      <c r="B211" s="37"/>
      <c r="C211" s="28"/>
      <c r="D211" s="28"/>
      <c r="E211" s="28"/>
      <c r="F211" s="79"/>
      <c r="G211" s="81" t="str">
        <f t="shared" si="9"/>
        <v/>
      </c>
      <c r="H211" s="68" t="str">
        <f t="shared" si="10"/>
        <v/>
      </c>
      <c r="I211" s="60" t="str">
        <f t="shared" si="11"/>
        <v/>
      </c>
      <c r="J211" s="40"/>
    </row>
    <row r="212" spans="2:10" x14ac:dyDescent="0.25">
      <c r="B212" s="37"/>
      <c r="C212" s="28"/>
      <c r="D212" s="28"/>
      <c r="E212" s="28"/>
      <c r="F212" s="79"/>
      <c r="G212" s="80" t="str">
        <f t="shared" si="9"/>
        <v/>
      </c>
      <c r="H212" s="65" t="str">
        <f t="shared" si="10"/>
        <v/>
      </c>
      <c r="I212" s="52" t="str">
        <f t="shared" si="11"/>
        <v/>
      </c>
      <c r="J212" s="40"/>
    </row>
    <row r="213" spans="2:10" x14ac:dyDescent="0.25">
      <c r="B213" s="37"/>
      <c r="C213" s="28"/>
      <c r="D213" s="28"/>
      <c r="E213" s="28"/>
      <c r="F213" s="79"/>
      <c r="G213" s="81" t="str">
        <f t="shared" si="9"/>
        <v/>
      </c>
      <c r="H213" s="68" t="str">
        <f t="shared" si="10"/>
        <v/>
      </c>
      <c r="I213" s="60" t="str">
        <f t="shared" si="11"/>
        <v/>
      </c>
      <c r="J213" s="40"/>
    </row>
    <row r="214" spans="2:10" x14ac:dyDescent="0.25">
      <c r="B214" s="37"/>
      <c r="C214" s="28"/>
      <c r="D214" s="28"/>
      <c r="E214" s="28"/>
      <c r="F214" s="79"/>
      <c r="G214" s="80" t="str">
        <f t="shared" si="9"/>
        <v/>
      </c>
      <c r="H214" s="65" t="str">
        <f t="shared" si="10"/>
        <v/>
      </c>
      <c r="I214" s="52" t="str">
        <f t="shared" si="11"/>
        <v/>
      </c>
      <c r="J214" s="40"/>
    </row>
    <row r="215" spans="2:10" x14ac:dyDescent="0.25">
      <c r="B215" s="37"/>
      <c r="C215" s="28"/>
      <c r="D215" s="28"/>
      <c r="E215" s="28"/>
      <c r="F215" s="79"/>
      <c r="G215" s="81" t="str">
        <f t="shared" si="9"/>
        <v/>
      </c>
      <c r="H215" s="68" t="str">
        <f t="shared" si="10"/>
        <v/>
      </c>
      <c r="I215" s="60" t="str">
        <f t="shared" si="11"/>
        <v/>
      </c>
      <c r="J215" s="40"/>
    </row>
    <row r="216" spans="2:10" x14ac:dyDescent="0.25">
      <c r="B216" s="37"/>
      <c r="C216" s="28"/>
      <c r="D216" s="28"/>
      <c r="E216" s="28"/>
      <c r="F216" s="79"/>
      <c r="G216" s="80" t="str">
        <f t="shared" si="9"/>
        <v/>
      </c>
      <c r="H216" s="65" t="str">
        <f t="shared" si="10"/>
        <v/>
      </c>
      <c r="I216" s="52" t="str">
        <f t="shared" si="11"/>
        <v/>
      </c>
      <c r="J216" s="40"/>
    </row>
    <row r="217" spans="2:10" x14ac:dyDescent="0.25">
      <c r="B217" s="37"/>
      <c r="C217" s="28"/>
      <c r="D217" s="28"/>
      <c r="E217" s="28"/>
      <c r="F217" s="79"/>
      <c r="G217" s="81" t="str">
        <f t="shared" si="9"/>
        <v/>
      </c>
      <c r="H217" s="68" t="str">
        <f t="shared" si="10"/>
        <v/>
      </c>
      <c r="I217" s="60" t="str">
        <f t="shared" si="11"/>
        <v/>
      </c>
      <c r="J217" s="40"/>
    </row>
    <row r="218" spans="2:10" x14ac:dyDescent="0.25">
      <c r="B218" s="37"/>
      <c r="C218" s="28"/>
      <c r="D218" s="28"/>
      <c r="E218" s="28"/>
      <c r="F218" s="79"/>
      <c r="G218" s="80" t="str">
        <f t="shared" si="9"/>
        <v/>
      </c>
      <c r="H218" s="65" t="str">
        <f t="shared" si="10"/>
        <v/>
      </c>
      <c r="I218" s="52" t="str">
        <f t="shared" si="11"/>
        <v/>
      </c>
      <c r="J218" s="40"/>
    </row>
    <row r="219" spans="2:10" x14ac:dyDescent="0.25">
      <c r="B219" s="37"/>
      <c r="C219" s="28"/>
      <c r="D219" s="28"/>
      <c r="E219" s="28"/>
      <c r="F219" s="79"/>
      <c r="G219" s="81" t="str">
        <f t="shared" si="9"/>
        <v/>
      </c>
      <c r="H219" s="68" t="str">
        <f t="shared" si="10"/>
        <v/>
      </c>
      <c r="I219" s="60" t="str">
        <f t="shared" si="11"/>
        <v/>
      </c>
      <c r="J219" s="40"/>
    </row>
    <row r="220" spans="2:10" x14ac:dyDescent="0.25">
      <c r="B220" s="37"/>
      <c r="C220" s="28"/>
      <c r="D220" s="28"/>
      <c r="E220" s="28"/>
      <c r="F220" s="79"/>
      <c r="G220" s="80" t="str">
        <f t="shared" si="9"/>
        <v/>
      </c>
      <c r="H220" s="65" t="str">
        <f t="shared" si="10"/>
        <v/>
      </c>
      <c r="I220" s="52" t="str">
        <f t="shared" si="11"/>
        <v/>
      </c>
      <c r="J220" s="40"/>
    </row>
    <row r="221" spans="2:10" x14ac:dyDescent="0.25">
      <c r="B221" s="37"/>
      <c r="C221" s="28"/>
      <c r="D221" s="28"/>
      <c r="E221" s="28"/>
      <c r="F221" s="79"/>
      <c r="G221" s="81" t="str">
        <f t="shared" si="9"/>
        <v/>
      </c>
      <c r="H221" s="68" t="str">
        <f t="shared" si="10"/>
        <v/>
      </c>
      <c r="I221" s="60" t="str">
        <f t="shared" si="11"/>
        <v/>
      </c>
      <c r="J221" s="40"/>
    </row>
    <row r="222" spans="2:10" x14ac:dyDescent="0.25">
      <c r="B222" s="37"/>
      <c r="C222" s="28"/>
      <c r="D222" s="28"/>
      <c r="E222" s="28"/>
      <c r="F222" s="79"/>
      <c r="G222" s="80" t="str">
        <f t="shared" si="9"/>
        <v/>
      </c>
      <c r="H222" s="65" t="str">
        <f t="shared" si="10"/>
        <v/>
      </c>
      <c r="I222" s="52" t="str">
        <f t="shared" si="11"/>
        <v/>
      </c>
      <c r="J222" s="40"/>
    </row>
    <row r="223" spans="2:10" x14ac:dyDescent="0.25">
      <c r="B223" s="37"/>
      <c r="C223" s="28"/>
      <c r="D223" s="28"/>
      <c r="E223" s="28"/>
      <c r="F223" s="79"/>
      <c r="G223" s="81" t="str">
        <f t="shared" si="9"/>
        <v/>
      </c>
      <c r="H223" s="68" t="str">
        <f t="shared" si="10"/>
        <v/>
      </c>
      <c r="I223" s="60" t="str">
        <f t="shared" si="11"/>
        <v/>
      </c>
      <c r="J223" s="40"/>
    </row>
    <row r="224" spans="2:10" x14ac:dyDescent="0.25">
      <c r="B224" s="37"/>
      <c r="C224" s="28"/>
      <c r="D224" s="28"/>
      <c r="E224" s="28"/>
      <c r="F224" s="79"/>
      <c r="G224" s="80" t="str">
        <f t="shared" si="9"/>
        <v/>
      </c>
      <c r="H224" s="65" t="str">
        <f t="shared" si="10"/>
        <v/>
      </c>
      <c r="I224" s="52" t="str">
        <f t="shared" si="11"/>
        <v/>
      </c>
      <c r="J224" s="40"/>
    </row>
    <row r="225" spans="2:10" x14ac:dyDescent="0.25">
      <c r="B225" s="37"/>
      <c r="C225" s="28"/>
      <c r="D225" s="28"/>
      <c r="E225" s="28"/>
      <c r="F225" s="79"/>
      <c r="G225" s="81" t="str">
        <f t="shared" si="9"/>
        <v/>
      </c>
      <c r="H225" s="68" t="str">
        <f t="shared" si="10"/>
        <v/>
      </c>
      <c r="I225" s="60" t="str">
        <f t="shared" si="11"/>
        <v/>
      </c>
      <c r="J225" s="40"/>
    </row>
    <row r="226" spans="2:10" x14ac:dyDescent="0.25">
      <c r="B226" s="37"/>
      <c r="C226" s="28"/>
      <c r="D226" s="28"/>
      <c r="E226" s="28"/>
      <c r="F226" s="79"/>
      <c r="G226" s="80" t="str">
        <f t="shared" si="9"/>
        <v/>
      </c>
      <c r="H226" s="65" t="str">
        <f t="shared" si="10"/>
        <v/>
      </c>
      <c r="I226" s="52" t="str">
        <f t="shared" si="11"/>
        <v/>
      </c>
      <c r="J226" s="40"/>
    </row>
    <row r="227" spans="2:10" x14ac:dyDescent="0.25">
      <c r="B227" s="37"/>
      <c r="C227" s="28"/>
      <c r="D227" s="28"/>
      <c r="E227" s="28"/>
      <c r="F227" s="79"/>
      <c r="G227" s="81" t="str">
        <f t="shared" si="9"/>
        <v/>
      </c>
      <c r="H227" s="68" t="str">
        <f t="shared" si="10"/>
        <v/>
      </c>
      <c r="I227" s="60" t="str">
        <f t="shared" si="11"/>
        <v/>
      </c>
      <c r="J227" s="40"/>
    </row>
    <row r="228" spans="2:10" x14ac:dyDescent="0.25">
      <c r="B228" s="37"/>
      <c r="C228" s="28"/>
      <c r="D228" s="28"/>
      <c r="E228" s="28"/>
      <c r="F228" s="79"/>
      <c r="G228" s="80" t="str">
        <f t="shared" si="9"/>
        <v/>
      </c>
      <c r="H228" s="65" t="str">
        <f t="shared" si="10"/>
        <v/>
      </c>
      <c r="I228" s="52" t="str">
        <f t="shared" si="11"/>
        <v/>
      </c>
      <c r="J228" s="40"/>
    </row>
    <row r="229" spans="2:10" x14ac:dyDescent="0.25">
      <c r="B229" s="37"/>
      <c r="C229" s="28"/>
      <c r="D229" s="28"/>
      <c r="E229" s="28"/>
      <c r="F229" s="79"/>
      <c r="G229" s="81" t="str">
        <f t="shared" si="9"/>
        <v/>
      </c>
      <c r="H229" s="68" t="str">
        <f t="shared" si="10"/>
        <v/>
      </c>
      <c r="I229" s="60" t="str">
        <f t="shared" si="11"/>
        <v/>
      </c>
      <c r="J229" s="40"/>
    </row>
    <row r="230" spans="2:10" x14ac:dyDescent="0.25">
      <c r="B230" s="37"/>
      <c r="C230" s="28"/>
      <c r="D230" s="28"/>
      <c r="E230" s="28"/>
      <c r="F230" s="79"/>
      <c r="G230" s="80" t="str">
        <f t="shared" si="9"/>
        <v/>
      </c>
      <c r="H230" s="65" t="str">
        <f t="shared" si="10"/>
        <v/>
      </c>
      <c r="I230" s="52" t="str">
        <f t="shared" si="11"/>
        <v/>
      </c>
      <c r="J230" s="40"/>
    </row>
    <row r="231" spans="2:10" x14ac:dyDescent="0.25">
      <c r="B231" s="37"/>
      <c r="C231" s="28"/>
      <c r="D231" s="28"/>
      <c r="E231" s="28"/>
      <c r="F231" s="79"/>
      <c r="G231" s="81" t="str">
        <f t="shared" si="9"/>
        <v/>
      </c>
      <c r="H231" s="68" t="str">
        <f t="shared" si="10"/>
        <v/>
      </c>
      <c r="I231" s="60" t="str">
        <f t="shared" si="11"/>
        <v/>
      </c>
      <c r="J231" s="40"/>
    </row>
    <row r="232" spans="2:10" x14ac:dyDescent="0.25">
      <c r="B232" s="37"/>
      <c r="C232" s="28"/>
      <c r="D232" s="28"/>
      <c r="E232" s="28"/>
      <c r="F232" s="79"/>
      <c r="G232" s="80" t="str">
        <f t="shared" si="9"/>
        <v/>
      </c>
      <c r="H232" s="65" t="str">
        <f t="shared" si="10"/>
        <v/>
      </c>
      <c r="I232" s="52" t="str">
        <f t="shared" si="11"/>
        <v/>
      </c>
      <c r="J232" s="40"/>
    </row>
    <row r="233" spans="2:10" x14ac:dyDescent="0.25">
      <c r="B233" s="37"/>
      <c r="C233" s="28"/>
      <c r="D233" s="28"/>
      <c r="E233" s="28"/>
      <c r="F233" s="79"/>
      <c r="G233" s="81" t="str">
        <f t="shared" si="9"/>
        <v/>
      </c>
      <c r="H233" s="68" t="str">
        <f t="shared" si="10"/>
        <v/>
      </c>
      <c r="I233" s="60" t="str">
        <f t="shared" si="11"/>
        <v/>
      </c>
      <c r="J233" s="40"/>
    </row>
    <row r="234" spans="2:10" x14ac:dyDescent="0.25">
      <c r="B234" s="37"/>
      <c r="C234" s="28"/>
      <c r="D234" s="28"/>
      <c r="E234" s="28"/>
      <c r="F234" s="79"/>
      <c r="G234" s="80" t="str">
        <f t="shared" si="9"/>
        <v/>
      </c>
      <c r="H234" s="65" t="str">
        <f t="shared" si="10"/>
        <v/>
      </c>
      <c r="I234" s="52" t="str">
        <f t="shared" si="11"/>
        <v/>
      </c>
      <c r="J234" s="40"/>
    </row>
    <row r="235" spans="2:10" x14ac:dyDescent="0.25">
      <c r="B235" s="37"/>
      <c r="C235" s="28"/>
      <c r="D235" s="28"/>
      <c r="E235" s="28"/>
      <c r="F235" s="79"/>
      <c r="G235" s="81" t="str">
        <f t="shared" si="9"/>
        <v/>
      </c>
      <c r="H235" s="68" t="str">
        <f t="shared" si="10"/>
        <v/>
      </c>
      <c r="I235" s="60" t="str">
        <f t="shared" si="11"/>
        <v/>
      </c>
      <c r="J235" s="40"/>
    </row>
    <row r="236" spans="2:10" x14ac:dyDescent="0.25">
      <c r="B236" s="37"/>
      <c r="C236" s="28"/>
      <c r="D236" s="28"/>
      <c r="E236" s="28"/>
      <c r="F236" s="79"/>
      <c r="G236" s="80" t="str">
        <f t="shared" si="9"/>
        <v/>
      </c>
      <c r="H236" s="65" t="str">
        <f t="shared" si="10"/>
        <v/>
      </c>
      <c r="I236" s="52" t="str">
        <f t="shared" si="11"/>
        <v/>
      </c>
      <c r="J236" s="40"/>
    </row>
    <row r="237" spans="2:10" x14ac:dyDescent="0.25">
      <c r="B237" s="37"/>
      <c r="C237" s="28"/>
      <c r="D237" s="28"/>
      <c r="E237" s="28"/>
      <c r="F237" s="79"/>
      <c r="G237" s="81" t="str">
        <f t="shared" si="9"/>
        <v/>
      </c>
      <c r="H237" s="68" t="str">
        <f t="shared" si="10"/>
        <v/>
      </c>
      <c r="I237" s="60" t="str">
        <f t="shared" si="11"/>
        <v/>
      </c>
      <c r="J237" s="40"/>
    </row>
    <row r="238" spans="2:10" x14ac:dyDescent="0.25">
      <c r="B238" s="37"/>
      <c r="C238" s="28"/>
      <c r="D238" s="28"/>
      <c r="E238" s="28"/>
      <c r="F238" s="79"/>
      <c r="G238" s="80" t="str">
        <f t="shared" si="9"/>
        <v/>
      </c>
      <c r="H238" s="65" t="str">
        <f t="shared" si="10"/>
        <v/>
      </c>
      <c r="I238" s="52" t="str">
        <f t="shared" si="11"/>
        <v/>
      </c>
      <c r="J238" s="40"/>
    </row>
    <row r="239" spans="2:10" x14ac:dyDescent="0.25">
      <c r="B239" s="37"/>
      <c r="C239" s="28"/>
      <c r="D239" s="28"/>
      <c r="E239" s="28"/>
      <c r="F239" s="79"/>
      <c r="G239" s="81" t="str">
        <f t="shared" si="9"/>
        <v/>
      </c>
      <c r="H239" s="68" t="str">
        <f t="shared" si="10"/>
        <v/>
      </c>
      <c r="I239" s="60" t="str">
        <f t="shared" si="11"/>
        <v/>
      </c>
      <c r="J239" s="40"/>
    </row>
    <row r="240" spans="2:10" x14ac:dyDescent="0.25">
      <c r="B240" s="37"/>
      <c r="C240" s="28"/>
      <c r="D240" s="28"/>
      <c r="E240" s="28"/>
      <c r="F240" s="79"/>
      <c r="G240" s="80" t="str">
        <f t="shared" si="9"/>
        <v/>
      </c>
      <c r="H240" s="65" t="str">
        <f t="shared" si="10"/>
        <v/>
      </c>
      <c r="I240" s="52" t="str">
        <f t="shared" si="11"/>
        <v/>
      </c>
      <c r="J240" s="40"/>
    </row>
    <row r="241" spans="2:10" x14ac:dyDescent="0.25">
      <c r="B241" s="37"/>
      <c r="C241" s="28"/>
      <c r="D241" s="28"/>
      <c r="E241" s="28"/>
      <c r="F241" s="79"/>
      <c r="G241" s="81" t="str">
        <f t="shared" si="9"/>
        <v/>
      </c>
      <c r="H241" s="68" t="str">
        <f t="shared" si="10"/>
        <v/>
      </c>
      <c r="I241" s="60" t="str">
        <f t="shared" si="11"/>
        <v/>
      </c>
      <c r="J241" s="40"/>
    </row>
    <row r="242" spans="2:10" x14ac:dyDescent="0.25">
      <c r="B242" s="37"/>
      <c r="C242" s="28"/>
      <c r="D242" s="28"/>
      <c r="E242" s="28"/>
      <c r="F242" s="79"/>
      <c r="G242" s="80" t="str">
        <f t="shared" si="9"/>
        <v/>
      </c>
      <c r="H242" s="65" t="str">
        <f t="shared" si="10"/>
        <v/>
      </c>
      <c r="I242" s="52" t="str">
        <f t="shared" si="11"/>
        <v/>
      </c>
      <c r="J242" s="40"/>
    </row>
    <row r="243" spans="2:10" x14ac:dyDescent="0.25">
      <c r="B243" s="37"/>
      <c r="C243" s="28"/>
      <c r="D243" s="28"/>
      <c r="E243" s="28"/>
      <c r="F243" s="79"/>
      <c r="G243" s="81" t="str">
        <f t="shared" si="9"/>
        <v/>
      </c>
      <c r="H243" s="68" t="str">
        <f t="shared" si="10"/>
        <v/>
      </c>
      <c r="I243" s="60" t="str">
        <f t="shared" si="11"/>
        <v/>
      </c>
      <c r="J243" s="40"/>
    </row>
    <row r="244" spans="2:10" x14ac:dyDescent="0.25">
      <c r="B244" s="37"/>
      <c r="C244" s="28"/>
      <c r="D244" s="28"/>
      <c r="E244" s="28"/>
      <c r="F244" s="79"/>
      <c r="G244" s="80" t="str">
        <f t="shared" si="9"/>
        <v/>
      </c>
      <c r="H244" s="65" t="str">
        <f t="shared" si="10"/>
        <v/>
      </c>
      <c r="I244" s="52" t="str">
        <f t="shared" si="11"/>
        <v/>
      </c>
      <c r="J244" s="40"/>
    </row>
    <row r="245" spans="2:10" x14ac:dyDescent="0.25">
      <c r="B245" s="37"/>
      <c r="C245" s="28"/>
      <c r="D245" s="28"/>
      <c r="E245" s="28"/>
      <c r="F245" s="79"/>
      <c r="G245" s="81" t="str">
        <f t="shared" si="9"/>
        <v/>
      </c>
      <c r="H245" s="68" t="str">
        <f t="shared" si="10"/>
        <v/>
      </c>
      <c r="I245" s="60" t="str">
        <f t="shared" si="11"/>
        <v/>
      </c>
      <c r="J245" s="40"/>
    </row>
    <row r="246" spans="2:10" x14ac:dyDescent="0.25">
      <c r="B246" s="37"/>
      <c r="C246" s="28"/>
      <c r="D246" s="28"/>
      <c r="E246" s="28"/>
      <c r="F246" s="79"/>
      <c r="G246" s="80" t="str">
        <f t="shared" si="9"/>
        <v/>
      </c>
      <c r="H246" s="65" t="str">
        <f t="shared" si="10"/>
        <v/>
      </c>
      <c r="I246" s="52" t="str">
        <f t="shared" si="11"/>
        <v/>
      </c>
      <c r="J246" s="40"/>
    </row>
    <row r="247" spans="2:10" x14ac:dyDescent="0.25">
      <c r="B247" s="37"/>
      <c r="C247" s="28"/>
      <c r="D247" s="28"/>
      <c r="E247" s="28"/>
      <c r="F247" s="79"/>
      <c r="G247" s="81" t="str">
        <f t="shared" si="9"/>
        <v/>
      </c>
      <c r="H247" s="68" t="str">
        <f t="shared" si="10"/>
        <v/>
      </c>
      <c r="I247" s="60" t="str">
        <f t="shared" si="11"/>
        <v/>
      </c>
      <c r="J247" s="40"/>
    </row>
    <row r="248" spans="2:10" x14ac:dyDescent="0.25">
      <c r="B248" s="37"/>
      <c r="C248" s="28"/>
      <c r="D248" s="28"/>
      <c r="E248" s="28"/>
      <c r="F248" s="79"/>
      <c r="G248" s="80" t="str">
        <f t="shared" si="9"/>
        <v/>
      </c>
      <c r="H248" s="65" t="str">
        <f t="shared" si="10"/>
        <v/>
      </c>
      <c r="I248" s="52" t="str">
        <f t="shared" si="11"/>
        <v/>
      </c>
      <c r="J248" s="40"/>
    </row>
    <row r="249" spans="2:10" x14ac:dyDescent="0.25">
      <c r="B249" s="37"/>
      <c r="C249" s="28"/>
      <c r="D249" s="28"/>
      <c r="E249" s="28"/>
      <c r="F249" s="79"/>
      <c r="G249" s="81" t="str">
        <f t="shared" si="9"/>
        <v/>
      </c>
      <c r="H249" s="68" t="str">
        <f t="shared" si="10"/>
        <v/>
      </c>
      <c r="I249" s="60" t="str">
        <f t="shared" si="11"/>
        <v/>
      </c>
      <c r="J249" s="40"/>
    </row>
    <row r="250" spans="2:10" x14ac:dyDescent="0.25">
      <c r="B250" s="37"/>
      <c r="C250" s="28"/>
      <c r="D250" s="28"/>
      <c r="E250" s="28"/>
      <c r="F250" s="79"/>
      <c r="G250" s="80" t="str">
        <f t="shared" si="9"/>
        <v/>
      </c>
      <c r="H250" s="65" t="str">
        <f t="shared" si="10"/>
        <v/>
      </c>
      <c r="I250" s="52" t="str">
        <f t="shared" si="11"/>
        <v/>
      </c>
      <c r="J250" s="40"/>
    </row>
    <row r="251" spans="2:10" x14ac:dyDescent="0.25">
      <c r="B251" s="37"/>
      <c r="C251" s="28"/>
      <c r="D251" s="28"/>
      <c r="E251" s="28"/>
      <c r="F251" s="79"/>
      <c r="G251" s="81" t="str">
        <f t="shared" si="9"/>
        <v/>
      </c>
      <c r="H251" s="68" t="str">
        <f t="shared" si="10"/>
        <v/>
      </c>
      <c r="I251" s="60" t="str">
        <f t="shared" si="11"/>
        <v/>
      </c>
      <c r="J251" s="40"/>
    </row>
    <row r="252" spans="2:10" x14ac:dyDescent="0.25">
      <c r="B252" s="37"/>
      <c r="C252" s="28"/>
      <c r="D252" s="28"/>
      <c r="E252" s="28"/>
      <c r="F252" s="79"/>
      <c r="G252" s="80" t="str">
        <f t="shared" si="9"/>
        <v/>
      </c>
      <c r="H252" s="65" t="str">
        <f t="shared" si="10"/>
        <v/>
      </c>
      <c r="I252" s="52" t="str">
        <f t="shared" si="11"/>
        <v/>
      </c>
      <c r="J252" s="40"/>
    </row>
    <row r="253" spans="2:10" x14ac:dyDescent="0.25">
      <c r="B253" s="37"/>
      <c r="C253" s="28"/>
      <c r="D253" s="28"/>
      <c r="E253" s="28"/>
      <c r="F253" s="79"/>
      <c r="G253" s="81" t="str">
        <f t="shared" si="9"/>
        <v/>
      </c>
      <c r="H253" s="68" t="str">
        <f t="shared" si="10"/>
        <v/>
      </c>
      <c r="I253" s="60" t="str">
        <f t="shared" si="11"/>
        <v/>
      </c>
      <c r="J253" s="40"/>
    </row>
    <row r="254" spans="2:10" x14ac:dyDescent="0.25">
      <c r="B254" s="37"/>
      <c r="C254" s="28"/>
      <c r="D254" s="28"/>
      <c r="E254" s="28"/>
      <c r="F254" s="79"/>
      <c r="G254" s="80" t="str">
        <f t="shared" si="9"/>
        <v/>
      </c>
      <c r="H254" s="65" t="str">
        <f t="shared" si="10"/>
        <v/>
      </c>
      <c r="I254" s="52" t="str">
        <f t="shared" si="11"/>
        <v/>
      </c>
      <c r="J254" s="40"/>
    </row>
    <row r="255" spans="2:10" x14ac:dyDescent="0.25">
      <c r="B255" s="37"/>
      <c r="C255" s="28"/>
      <c r="D255" s="28"/>
      <c r="E255" s="28"/>
      <c r="F255" s="79"/>
      <c r="G255" s="81" t="str">
        <f t="shared" si="9"/>
        <v/>
      </c>
      <c r="H255" s="68" t="str">
        <f t="shared" si="10"/>
        <v/>
      </c>
      <c r="I255" s="60" t="str">
        <f t="shared" si="11"/>
        <v/>
      </c>
      <c r="J255" s="40"/>
    </row>
    <row r="256" spans="2:10" x14ac:dyDescent="0.25">
      <c r="B256" s="37"/>
      <c r="C256" s="28"/>
      <c r="D256" s="28"/>
      <c r="E256" s="28"/>
      <c r="F256" s="79"/>
      <c r="G256" s="80" t="str">
        <f t="shared" si="9"/>
        <v/>
      </c>
      <c r="H256" s="65" t="str">
        <f t="shared" si="10"/>
        <v/>
      </c>
      <c r="I256" s="52" t="str">
        <f t="shared" si="11"/>
        <v/>
      </c>
      <c r="J256" s="40"/>
    </row>
    <row r="257" spans="2:10" x14ac:dyDescent="0.25">
      <c r="B257" s="37"/>
      <c r="C257" s="28"/>
      <c r="D257" s="28"/>
      <c r="E257" s="28"/>
      <c r="F257" s="79"/>
      <c r="G257" s="81" t="str">
        <f t="shared" si="9"/>
        <v/>
      </c>
      <c r="H257" s="68" t="str">
        <f t="shared" si="10"/>
        <v/>
      </c>
      <c r="I257" s="60" t="str">
        <f t="shared" si="11"/>
        <v/>
      </c>
      <c r="J257" s="40"/>
    </row>
    <row r="258" spans="2:10" x14ac:dyDescent="0.25">
      <c r="B258" s="37"/>
      <c r="C258" s="28"/>
      <c r="D258" s="28"/>
      <c r="E258" s="28"/>
      <c r="F258" s="79"/>
      <c r="G258" s="80" t="str">
        <f t="shared" si="9"/>
        <v/>
      </c>
      <c r="H258" s="65" t="str">
        <f t="shared" si="10"/>
        <v/>
      </c>
      <c r="I258" s="52" t="str">
        <f t="shared" si="11"/>
        <v/>
      </c>
      <c r="J258" s="40"/>
    </row>
    <row r="259" spans="2:10" x14ac:dyDescent="0.25">
      <c r="B259" s="37"/>
      <c r="C259" s="28"/>
      <c r="D259" s="28"/>
      <c r="E259" s="28"/>
      <c r="F259" s="79"/>
      <c r="G259" s="81" t="str">
        <f t="shared" si="9"/>
        <v/>
      </c>
      <c r="H259" s="68" t="str">
        <f t="shared" si="10"/>
        <v/>
      </c>
      <c r="I259" s="60" t="str">
        <f t="shared" si="11"/>
        <v/>
      </c>
      <c r="J259" s="40"/>
    </row>
    <row r="260" spans="2:10" x14ac:dyDescent="0.25">
      <c r="B260" s="37"/>
      <c r="C260" s="28"/>
      <c r="D260" s="28"/>
      <c r="E260" s="28"/>
      <c r="F260" s="79"/>
      <c r="G260" s="80" t="str">
        <f t="shared" si="9"/>
        <v/>
      </c>
      <c r="H260" s="65" t="str">
        <f t="shared" si="10"/>
        <v/>
      </c>
      <c r="I260" s="52" t="str">
        <f t="shared" si="11"/>
        <v/>
      </c>
      <c r="J260" s="40"/>
    </row>
    <row r="261" spans="2:10" x14ac:dyDescent="0.25">
      <c r="B261" s="37"/>
      <c r="C261" s="28"/>
      <c r="D261" s="28"/>
      <c r="E261" s="28"/>
      <c r="F261" s="79"/>
      <c r="G261" s="81" t="str">
        <f t="shared" si="9"/>
        <v/>
      </c>
      <c r="H261" s="68" t="str">
        <f t="shared" si="10"/>
        <v/>
      </c>
      <c r="I261" s="60" t="str">
        <f t="shared" si="11"/>
        <v/>
      </c>
      <c r="J261" s="40"/>
    </row>
    <row r="262" spans="2:10" x14ac:dyDescent="0.25">
      <c r="B262" s="37"/>
      <c r="C262" s="28"/>
      <c r="D262" s="28"/>
      <c r="E262" s="28"/>
      <c r="F262" s="79"/>
      <c r="G262" s="80" t="str">
        <f t="shared" si="9"/>
        <v/>
      </c>
      <c r="H262" s="65" t="str">
        <f t="shared" si="10"/>
        <v/>
      </c>
      <c r="I262" s="52" t="str">
        <f t="shared" si="11"/>
        <v/>
      </c>
      <c r="J262" s="40"/>
    </row>
    <row r="263" spans="2:10" x14ac:dyDescent="0.25">
      <c r="B263" s="37"/>
      <c r="C263" s="28"/>
      <c r="D263" s="28"/>
      <c r="E263" s="28"/>
      <c r="F263" s="79"/>
      <c r="G263" s="81" t="str">
        <f t="shared" si="9"/>
        <v/>
      </c>
      <c r="H263" s="68" t="str">
        <f t="shared" si="10"/>
        <v/>
      </c>
      <c r="I263" s="60" t="str">
        <f t="shared" si="11"/>
        <v/>
      </c>
      <c r="J263" s="40"/>
    </row>
    <row r="264" spans="2:10" x14ac:dyDescent="0.25">
      <c r="B264" s="37"/>
      <c r="C264" s="28"/>
      <c r="D264" s="28"/>
      <c r="E264" s="28"/>
      <c r="F264" s="79"/>
      <c r="G264" s="80" t="str">
        <f t="shared" ref="G264:G307" si="12">IF($B264="","",IFERROR(INDEX(TR_Value,MATCH(1,INDEX((ISNUMBER(SEARCH("mileage_business",TR_Id)))*(TR_From&lt;=$B264)*(TR_To&gt;=$B264),0),0)),"NO RATE"))</f>
        <v/>
      </c>
      <c r="H264" s="65" t="str">
        <f t="shared" ref="H264:H307" si="13">IF(OR($B264="",N($F264)=0),"",IF(NOT(ISNUMBER($G264)),"REVIEW - no 2026 rate for this date",ROUND($F264*$G264,2)))</f>
        <v/>
      </c>
      <c r="I264" s="52" t="str">
        <f t="shared" ref="I264:I307" si="14">IF($B264="","",IFERROR(INDEX(TR_Id,MATCH(1,INDEX((ISNUMBER(SEARCH("mileage_business",TR_Id)))*(TR_From&lt;=$B264)*(TR_To&gt;=$B264),0),0)),"outside 2026"))</f>
        <v/>
      </c>
      <c r="J264" s="40"/>
    </row>
    <row r="265" spans="2:10" x14ac:dyDescent="0.25">
      <c r="B265" s="37"/>
      <c r="C265" s="28"/>
      <c r="D265" s="28"/>
      <c r="E265" s="28"/>
      <c r="F265" s="79"/>
      <c r="G265" s="81" t="str">
        <f t="shared" si="12"/>
        <v/>
      </c>
      <c r="H265" s="68" t="str">
        <f t="shared" si="13"/>
        <v/>
      </c>
      <c r="I265" s="60" t="str">
        <f t="shared" si="14"/>
        <v/>
      </c>
      <c r="J265" s="40"/>
    </row>
    <row r="266" spans="2:10" x14ac:dyDescent="0.25">
      <c r="B266" s="37"/>
      <c r="C266" s="28"/>
      <c r="D266" s="28"/>
      <c r="E266" s="28"/>
      <c r="F266" s="79"/>
      <c r="G266" s="80" t="str">
        <f t="shared" si="12"/>
        <v/>
      </c>
      <c r="H266" s="65" t="str">
        <f t="shared" si="13"/>
        <v/>
      </c>
      <c r="I266" s="52" t="str">
        <f t="shared" si="14"/>
        <v/>
      </c>
      <c r="J266" s="40"/>
    </row>
    <row r="267" spans="2:10" x14ac:dyDescent="0.25">
      <c r="B267" s="37"/>
      <c r="C267" s="28"/>
      <c r="D267" s="28"/>
      <c r="E267" s="28"/>
      <c r="F267" s="79"/>
      <c r="G267" s="81" t="str">
        <f t="shared" si="12"/>
        <v/>
      </c>
      <c r="H267" s="68" t="str">
        <f t="shared" si="13"/>
        <v/>
      </c>
      <c r="I267" s="60" t="str">
        <f t="shared" si="14"/>
        <v/>
      </c>
      <c r="J267" s="40"/>
    </row>
    <row r="268" spans="2:10" x14ac:dyDescent="0.25">
      <c r="B268" s="37"/>
      <c r="C268" s="28"/>
      <c r="D268" s="28"/>
      <c r="E268" s="28"/>
      <c r="F268" s="79"/>
      <c r="G268" s="80" t="str">
        <f t="shared" si="12"/>
        <v/>
      </c>
      <c r="H268" s="65" t="str">
        <f t="shared" si="13"/>
        <v/>
      </c>
      <c r="I268" s="52" t="str">
        <f t="shared" si="14"/>
        <v/>
      </c>
      <c r="J268" s="40"/>
    </row>
    <row r="269" spans="2:10" x14ac:dyDescent="0.25">
      <c r="B269" s="37"/>
      <c r="C269" s="28"/>
      <c r="D269" s="28"/>
      <c r="E269" s="28"/>
      <c r="F269" s="79"/>
      <c r="G269" s="81" t="str">
        <f t="shared" si="12"/>
        <v/>
      </c>
      <c r="H269" s="68" t="str">
        <f t="shared" si="13"/>
        <v/>
      </c>
      <c r="I269" s="60" t="str">
        <f t="shared" si="14"/>
        <v/>
      </c>
      <c r="J269" s="40"/>
    </row>
    <row r="270" spans="2:10" x14ac:dyDescent="0.25">
      <c r="B270" s="37"/>
      <c r="C270" s="28"/>
      <c r="D270" s="28"/>
      <c r="E270" s="28"/>
      <c r="F270" s="79"/>
      <c r="G270" s="80" t="str">
        <f t="shared" si="12"/>
        <v/>
      </c>
      <c r="H270" s="65" t="str">
        <f t="shared" si="13"/>
        <v/>
      </c>
      <c r="I270" s="52" t="str">
        <f t="shared" si="14"/>
        <v/>
      </c>
      <c r="J270" s="40"/>
    </row>
    <row r="271" spans="2:10" x14ac:dyDescent="0.25">
      <c r="B271" s="37"/>
      <c r="C271" s="28"/>
      <c r="D271" s="28"/>
      <c r="E271" s="28"/>
      <c r="F271" s="79"/>
      <c r="G271" s="81" t="str">
        <f t="shared" si="12"/>
        <v/>
      </c>
      <c r="H271" s="68" t="str">
        <f t="shared" si="13"/>
        <v/>
      </c>
      <c r="I271" s="60" t="str">
        <f t="shared" si="14"/>
        <v/>
      </c>
      <c r="J271" s="40"/>
    </row>
    <row r="272" spans="2:10" x14ac:dyDescent="0.25">
      <c r="B272" s="37"/>
      <c r="C272" s="28"/>
      <c r="D272" s="28"/>
      <c r="E272" s="28"/>
      <c r="F272" s="79"/>
      <c r="G272" s="80" t="str">
        <f t="shared" si="12"/>
        <v/>
      </c>
      <c r="H272" s="65" t="str">
        <f t="shared" si="13"/>
        <v/>
      </c>
      <c r="I272" s="52" t="str">
        <f t="shared" si="14"/>
        <v/>
      </c>
      <c r="J272" s="40"/>
    </row>
    <row r="273" spans="2:10" x14ac:dyDescent="0.25">
      <c r="B273" s="37"/>
      <c r="C273" s="28"/>
      <c r="D273" s="28"/>
      <c r="E273" s="28"/>
      <c r="F273" s="79"/>
      <c r="G273" s="81" t="str">
        <f t="shared" si="12"/>
        <v/>
      </c>
      <c r="H273" s="68" t="str">
        <f t="shared" si="13"/>
        <v/>
      </c>
      <c r="I273" s="60" t="str">
        <f t="shared" si="14"/>
        <v/>
      </c>
      <c r="J273" s="40"/>
    </row>
    <row r="274" spans="2:10" x14ac:dyDescent="0.25">
      <c r="B274" s="37"/>
      <c r="C274" s="28"/>
      <c r="D274" s="28"/>
      <c r="E274" s="28"/>
      <c r="F274" s="79"/>
      <c r="G274" s="80" t="str">
        <f t="shared" si="12"/>
        <v/>
      </c>
      <c r="H274" s="65" t="str">
        <f t="shared" si="13"/>
        <v/>
      </c>
      <c r="I274" s="52" t="str">
        <f t="shared" si="14"/>
        <v/>
      </c>
      <c r="J274" s="40"/>
    </row>
    <row r="275" spans="2:10" x14ac:dyDescent="0.25">
      <c r="B275" s="37"/>
      <c r="C275" s="28"/>
      <c r="D275" s="28"/>
      <c r="E275" s="28"/>
      <c r="F275" s="79"/>
      <c r="G275" s="81" t="str">
        <f t="shared" si="12"/>
        <v/>
      </c>
      <c r="H275" s="68" t="str">
        <f t="shared" si="13"/>
        <v/>
      </c>
      <c r="I275" s="60" t="str">
        <f t="shared" si="14"/>
        <v/>
      </c>
      <c r="J275" s="40"/>
    </row>
    <row r="276" spans="2:10" x14ac:dyDescent="0.25">
      <c r="B276" s="37"/>
      <c r="C276" s="28"/>
      <c r="D276" s="28"/>
      <c r="E276" s="28"/>
      <c r="F276" s="79"/>
      <c r="G276" s="80" t="str">
        <f t="shared" si="12"/>
        <v/>
      </c>
      <c r="H276" s="65" t="str">
        <f t="shared" si="13"/>
        <v/>
      </c>
      <c r="I276" s="52" t="str">
        <f t="shared" si="14"/>
        <v/>
      </c>
      <c r="J276" s="40"/>
    </row>
    <row r="277" spans="2:10" x14ac:dyDescent="0.25">
      <c r="B277" s="37"/>
      <c r="C277" s="28"/>
      <c r="D277" s="28"/>
      <c r="E277" s="28"/>
      <c r="F277" s="79"/>
      <c r="G277" s="81" t="str">
        <f t="shared" si="12"/>
        <v/>
      </c>
      <c r="H277" s="68" t="str">
        <f t="shared" si="13"/>
        <v/>
      </c>
      <c r="I277" s="60" t="str">
        <f t="shared" si="14"/>
        <v/>
      </c>
      <c r="J277" s="40"/>
    </row>
    <row r="278" spans="2:10" x14ac:dyDescent="0.25">
      <c r="B278" s="37"/>
      <c r="C278" s="28"/>
      <c r="D278" s="28"/>
      <c r="E278" s="28"/>
      <c r="F278" s="79"/>
      <c r="G278" s="80" t="str">
        <f t="shared" si="12"/>
        <v/>
      </c>
      <c r="H278" s="65" t="str">
        <f t="shared" si="13"/>
        <v/>
      </c>
      <c r="I278" s="52" t="str">
        <f t="shared" si="14"/>
        <v/>
      </c>
      <c r="J278" s="40"/>
    </row>
    <row r="279" spans="2:10" x14ac:dyDescent="0.25">
      <c r="B279" s="37"/>
      <c r="C279" s="28"/>
      <c r="D279" s="28"/>
      <c r="E279" s="28"/>
      <c r="F279" s="79"/>
      <c r="G279" s="81" t="str">
        <f t="shared" si="12"/>
        <v/>
      </c>
      <c r="H279" s="68" t="str">
        <f t="shared" si="13"/>
        <v/>
      </c>
      <c r="I279" s="60" t="str">
        <f t="shared" si="14"/>
        <v/>
      </c>
      <c r="J279" s="40"/>
    </row>
    <row r="280" spans="2:10" x14ac:dyDescent="0.25">
      <c r="B280" s="37"/>
      <c r="C280" s="28"/>
      <c r="D280" s="28"/>
      <c r="E280" s="28"/>
      <c r="F280" s="79"/>
      <c r="G280" s="80" t="str">
        <f t="shared" si="12"/>
        <v/>
      </c>
      <c r="H280" s="65" t="str">
        <f t="shared" si="13"/>
        <v/>
      </c>
      <c r="I280" s="52" t="str">
        <f t="shared" si="14"/>
        <v/>
      </c>
      <c r="J280" s="40"/>
    </row>
    <row r="281" spans="2:10" x14ac:dyDescent="0.25">
      <c r="B281" s="37"/>
      <c r="C281" s="28"/>
      <c r="D281" s="28"/>
      <c r="E281" s="28"/>
      <c r="F281" s="79"/>
      <c r="G281" s="81" t="str">
        <f t="shared" si="12"/>
        <v/>
      </c>
      <c r="H281" s="68" t="str">
        <f t="shared" si="13"/>
        <v/>
      </c>
      <c r="I281" s="60" t="str">
        <f t="shared" si="14"/>
        <v/>
      </c>
      <c r="J281" s="40"/>
    </row>
    <row r="282" spans="2:10" x14ac:dyDescent="0.25">
      <c r="B282" s="37"/>
      <c r="C282" s="28"/>
      <c r="D282" s="28"/>
      <c r="E282" s="28"/>
      <c r="F282" s="79"/>
      <c r="G282" s="80" t="str">
        <f t="shared" si="12"/>
        <v/>
      </c>
      <c r="H282" s="65" t="str">
        <f t="shared" si="13"/>
        <v/>
      </c>
      <c r="I282" s="52" t="str">
        <f t="shared" si="14"/>
        <v/>
      </c>
      <c r="J282" s="40"/>
    </row>
    <row r="283" spans="2:10" x14ac:dyDescent="0.25">
      <c r="B283" s="37"/>
      <c r="C283" s="28"/>
      <c r="D283" s="28"/>
      <c r="E283" s="28"/>
      <c r="F283" s="79"/>
      <c r="G283" s="81" t="str">
        <f t="shared" si="12"/>
        <v/>
      </c>
      <c r="H283" s="68" t="str">
        <f t="shared" si="13"/>
        <v/>
      </c>
      <c r="I283" s="60" t="str">
        <f t="shared" si="14"/>
        <v/>
      </c>
      <c r="J283" s="40"/>
    </row>
    <row r="284" spans="2:10" x14ac:dyDescent="0.25">
      <c r="B284" s="37"/>
      <c r="C284" s="28"/>
      <c r="D284" s="28"/>
      <c r="E284" s="28"/>
      <c r="F284" s="79"/>
      <c r="G284" s="80" t="str">
        <f t="shared" si="12"/>
        <v/>
      </c>
      <c r="H284" s="65" t="str">
        <f t="shared" si="13"/>
        <v/>
      </c>
      <c r="I284" s="52" t="str">
        <f t="shared" si="14"/>
        <v/>
      </c>
      <c r="J284" s="40"/>
    </row>
    <row r="285" spans="2:10" x14ac:dyDescent="0.25">
      <c r="B285" s="37"/>
      <c r="C285" s="28"/>
      <c r="D285" s="28"/>
      <c r="E285" s="28"/>
      <c r="F285" s="79"/>
      <c r="G285" s="81" t="str">
        <f t="shared" si="12"/>
        <v/>
      </c>
      <c r="H285" s="68" t="str">
        <f t="shared" si="13"/>
        <v/>
      </c>
      <c r="I285" s="60" t="str">
        <f t="shared" si="14"/>
        <v/>
      </c>
      <c r="J285" s="40"/>
    </row>
    <row r="286" spans="2:10" x14ac:dyDescent="0.25">
      <c r="B286" s="37"/>
      <c r="C286" s="28"/>
      <c r="D286" s="28"/>
      <c r="E286" s="28"/>
      <c r="F286" s="79"/>
      <c r="G286" s="80" t="str">
        <f t="shared" si="12"/>
        <v/>
      </c>
      <c r="H286" s="65" t="str">
        <f t="shared" si="13"/>
        <v/>
      </c>
      <c r="I286" s="52" t="str">
        <f t="shared" si="14"/>
        <v/>
      </c>
      <c r="J286" s="40"/>
    </row>
    <row r="287" spans="2:10" x14ac:dyDescent="0.25">
      <c r="B287" s="37"/>
      <c r="C287" s="28"/>
      <c r="D287" s="28"/>
      <c r="E287" s="28"/>
      <c r="F287" s="79"/>
      <c r="G287" s="81" t="str">
        <f t="shared" si="12"/>
        <v/>
      </c>
      <c r="H287" s="68" t="str">
        <f t="shared" si="13"/>
        <v/>
      </c>
      <c r="I287" s="60" t="str">
        <f t="shared" si="14"/>
        <v/>
      </c>
      <c r="J287" s="40"/>
    </row>
    <row r="288" spans="2:10" x14ac:dyDescent="0.25">
      <c r="B288" s="37"/>
      <c r="C288" s="28"/>
      <c r="D288" s="28"/>
      <c r="E288" s="28"/>
      <c r="F288" s="79"/>
      <c r="G288" s="80" t="str">
        <f t="shared" si="12"/>
        <v/>
      </c>
      <c r="H288" s="65" t="str">
        <f t="shared" si="13"/>
        <v/>
      </c>
      <c r="I288" s="52" t="str">
        <f t="shared" si="14"/>
        <v/>
      </c>
      <c r="J288" s="40"/>
    </row>
    <row r="289" spans="2:10" x14ac:dyDescent="0.25">
      <c r="B289" s="37"/>
      <c r="C289" s="28"/>
      <c r="D289" s="28"/>
      <c r="E289" s="28"/>
      <c r="F289" s="79"/>
      <c r="G289" s="81" t="str">
        <f t="shared" si="12"/>
        <v/>
      </c>
      <c r="H289" s="68" t="str">
        <f t="shared" si="13"/>
        <v/>
      </c>
      <c r="I289" s="60" t="str">
        <f t="shared" si="14"/>
        <v/>
      </c>
      <c r="J289" s="40"/>
    </row>
    <row r="290" spans="2:10" x14ac:dyDescent="0.25">
      <c r="B290" s="37"/>
      <c r="C290" s="28"/>
      <c r="D290" s="28"/>
      <c r="E290" s="28"/>
      <c r="F290" s="79"/>
      <c r="G290" s="80" t="str">
        <f t="shared" si="12"/>
        <v/>
      </c>
      <c r="H290" s="65" t="str">
        <f t="shared" si="13"/>
        <v/>
      </c>
      <c r="I290" s="52" t="str">
        <f t="shared" si="14"/>
        <v/>
      </c>
      <c r="J290" s="40"/>
    </row>
    <row r="291" spans="2:10" x14ac:dyDescent="0.25">
      <c r="B291" s="37"/>
      <c r="C291" s="28"/>
      <c r="D291" s="28"/>
      <c r="E291" s="28"/>
      <c r="F291" s="79"/>
      <c r="G291" s="81" t="str">
        <f t="shared" si="12"/>
        <v/>
      </c>
      <c r="H291" s="68" t="str">
        <f t="shared" si="13"/>
        <v/>
      </c>
      <c r="I291" s="60" t="str">
        <f t="shared" si="14"/>
        <v/>
      </c>
      <c r="J291" s="40"/>
    </row>
    <row r="292" spans="2:10" x14ac:dyDescent="0.25">
      <c r="B292" s="37"/>
      <c r="C292" s="28"/>
      <c r="D292" s="28"/>
      <c r="E292" s="28"/>
      <c r="F292" s="79"/>
      <c r="G292" s="80" t="str">
        <f t="shared" si="12"/>
        <v/>
      </c>
      <c r="H292" s="65" t="str">
        <f t="shared" si="13"/>
        <v/>
      </c>
      <c r="I292" s="52" t="str">
        <f t="shared" si="14"/>
        <v/>
      </c>
      <c r="J292" s="40"/>
    </row>
    <row r="293" spans="2:10" x14ac:dyDescent="0.25">
      <c r="B293" s="37"/>
      <c r="C293" s="28"/>
      <c r="D293" s="28"/>
      <c r="E293" s="28"/>
      <c r="F293" s="79"/>
      <c r="G293" s="81" t="str">
        <f t="shared" si="12"/>
        <v/>
      </c>
      <c r="H293" s="68" t="str">
        <f t="shared" si="13"/>
        <v/>
      </c>
      <c r="I293" s="60" t="str">
        <f t="shared" si="14"/>
        <v/>
      </c>
      <c r="J293" s="40"/>
    </row>
    <row r="294" spans="2:10" x14ac:dyDescent="0.25">
      <c r="B294" s="37"/>
      <c r="C294" s="28"/>
      <c r="D294" s="28"/>
      <c r="E294" s="28"/>
      <c r="F294" s="79"/>
      <c r="G294" s="80" t="str">
        <f t="shared" si="12"/>
        <v/>
      </c>
      <c r="H294" s="65" t="str">
        <f t="shared" si="13"/>
        <v/>
      </c>
      <c r="I294" s="52" t="str">
        <f t="shared" si="14"/>
        <v/>
      </c>
      <c r="J294" s="40"/>
    </row>
    <row r="295" spans="2:10" x14ac:dyDescent="0.25">
      <c r="B295" s="37"/>
      <c r="C295" s="28"/>
      <c r="D295" s="28"/>
      <c r="E295" s="28"/>
      <c r="F295" s="79"/>
      <c r="G295" s="81" t="str">
        <f t="shared" si="12"/>
        <v/>
      </c>
      <c r="H295" s="68" t="str">
        <f t="shared" si="13"/>
        <v/>
      </c>
      <c r="I295" s="60" t="str">
        <f t="shared" si="14"/>
        <v/>
      </c>
      <c r="J295" s="40"/>
    </row>
    <row r="296" spans="2:10" x14ac:dyDescent="0.25">
      <c r="B296" s="37"/>
      <c r="C296" s="28"/>
      <c r="D296" s="28"/>
      <c r="E296" s="28"/>
      <c r="F296" s="79"/>
      <c r="G296" s="80" t="str">
        <f t="shared" si="12"/>
        <v/>
      </c>
      <c r="H296" s="65" t="str">
        <f t="shared" si="13"/>
        <v/>
      </c>
      <c r="I296" s="52" t="str">
        <f t="shared" si="14"/>
        <v/>
      </c>
      <c r="J296" s="40"/>
    </row>
    <row r="297" spans="2:10" x14ac:dyDescent="0.25">
      <c r="B297" s="37"/>
      <c r="C297" s="28"/>
      <c r="D297" s="28"/>
      <c r="E297" s="28"/>
      <c r="F297" s="79"/>
      <c r="G297" s="81" t="str">
        <f t="shared" si="12"/>
        <v/>
      </c>
      <c r="H297" s="68" t="str">
        <f t="shared" si="13"/>
        <v/>
      </c>
      <c r="I297" s="60" t="str">
        <f t="shared" si="14"/>
        <v/>
      </c>
      <c r="J297" s="40"/>
    </row>
    <row r="298" spans="2:10" x14ac:dyDescent="0.25">
      <c r="B298" s="37"/>
      <c r="C298" s="28"/>
      <c r="D298" s="28"/>
      <c r="E298" s="28"/>
      <c r="F298" s="79"/>
      <c r="G298" s="80" t="str">
        <f t="shared" si="12"/>
        <v/>
      </c>
      <c r="H298" s="65" t="str">
        <f t="shared" si="13"/>
        <v/>
      </c>
      <c r="I298" s="52" t="str">
        <f t="shared" si="14"/>
        <v/>
      </c>
      <c r="J298" s="40"/>
    </row>
    <row r="299" spans="2:10" x14ac:dyDescent="0.25">
      <c r="B299" s="37"/>
      <c r="C299" s="28"/>
      <c r="D299" s="28"/>
      <c r="E299" s="28"/>
      <c r="F299" s="79"/>
      <c r="G299" s="81" t="str">
        <f t="shared" si="12"/>
        <v/>
      </c>
      <c r="H299" s="68" t="str">
        <f t="shared" si="13"/>
        <v/>
      </c>
      <c r="I299" s="60" t="str">
        <f t="shared" si="14"/>
        <v/>
      </c>
      <c r="J299" s="40"/>
    </row>
    <row r="300" spans="2:10" x14ac:dyDescent="0.25">
      <c r="B300" s="37"/>
      <c r="C300" s="28"/>
      <c r="D300" s="28"/>
      <c r="E300" s="28"/>
      <c r="F300" s="79"/>
      <c r="G300" s="80" t="str">
        <f t="shared" si="12"/>
        <v/>
      </c>
      <c r="H300" s="65" t="str">
        <f t="shared" si="13"/>
        <v/>
      </c>
      <c r="I300" s="52" t="str">
        <f t="shared" si="14"/>
        <v/>
      </c>
      <c r="J300" s="40"/>
    </row>
    <row r="301" spans="2:10" x14ac:dyDescent="0.25">
      <c r="B301" s="37"/>
      <c r="C301" s="28"/>
      <c r="D301" s="28"/>
      <c r="E301" s="28"/>
      <c r="F301" s="79"/>
      <c r="G301" s="81" t="str">
        <f t="shared" si="12"/>
        <v/>
      </c>
      <c r="H301" s="68" t="str">
        <f t="shared" si="13"/>
        <v/>
      </c>
      <c r="I301" s="60" t="str">
        <f t="shared" si="14"/>
        <v/>
      </c>
      <c r="J301" s="40"/>
    </row>
    <row r="302" spans="2:10" x14ac:dyDescent="0.25">
      <c r="B302" s="37"/>
      <c r="C302" s="28"/>
      <c r="D302" s="28"/>
      <c r="E302" s="28"/>
      <c r="F302" s="79"/>
      <c r="G302" s="80" t="str">
        <f t="shared" si="12"/>
        <v/>
      </c>
      <c r="H302" s="65" t="str">
        <f t="shared" si="13"/>
        <v/>
      </c>
      <c r="I302" s="52" t="str">
        <f t="shared" si="14"/>
        <v/>
      </c>
      <c r="J302" s="40"/>
    </row>
    <row r="303" spans="2:10" x14ac:dyDescent="0.25">
      <c r="B303" s="37"/>
      <c r="C303" s="28"/>
      <c r="D303" s="28"/>
      <c r="E303" s="28"/>
      <c r="F303" s="79"/>
      <c r="G303" s="81" t="str">
        <f t="shared" si="12"/>
        <v/>
      </c>
      <c r="H303" s="68" t="str">
        <f t="shared" si="13"/>
        <v/>
      </c>
      <c r="I303" s="60" t="str">
        <f t="shared" si="14"/>
        <v/>
      </c>
      <c r="J303" s="40"/>
    </row>
    <row r="304" spans="2:10" x14ac:dyDescent="0.25">
      <c r="B304" s="37"/>
      <c r="C304" s="28"/>
      <c r="D304" s="28"/>
      <c r="E304" s="28"/>
      <c r="F304" s="79"/>
      <c r="G304" s="80" t="str">
        <f t="shared" si="12"/>
        <v/>
      </c>
      <c r="H304" s="65" t="str">
        <f t="shared" si="13"/>
        <v/>
      </c>
      <c r="I304" s="52" t="str">
        <f t="shared" si="14"/>
        <v/>
      </c>
      <c r="J304" s="40"/>
    </row>
    <row r="305" spans="1:10" x14ac:dyDescent="0.25">
      <c r="B305" s="37"/>
      <c r="C305" s="28"/>
      <c r="D305" s="28"/>
      <c r="E305" s="28"/>
      <c r="F305" s="79"/>
      <c r="G305" s="81" t="str">
        <f t="shared" si="12"/>
        <v/>
      </c>
      <c r="H305" s="68" t="str">
        <f t="shared" si="13"/>
        <v/>
      </c>
      <c r="I305" s="60" t="str">
        <f t="shared" si="14"/>
        <v/>
      </c>
      <c r="J305" s="40"/>
    </row>
    <row r="306" spans="1:10" x14ac:dyDescent="0.25">
      <c r="B306" s="37"/>
      <c r="C306" s="28"/>
      <c r="D306" s="28"/>
      <c r="E306" s="28"/>
      <c r="F306" s="79"/>
      <c r="G306" s="80" t="str">
        <f t="shared" si="12"/>
        <v/>
      </c>
      <c r="H306" s="65" t="str">
        <f t="shared" si="13"/>
        <v/>
      </c>
      <c r="I306" s="52" t="str">
        <f t="shared" si="14"/>
        <v/>
      </c>
      <c r="J306" s="40"/>
    </row>
    <row r="307" spans="1:10" x14ac:dyDescent="0.25">
      <c r="B307" s="37"/>
      <c r="C307" s="28"/>
      <c r="D307" s="28"/>
      <c r="E307" s="28"/>
      <c r="F307" s="79"/>
      <c r="G307" s="81" t="str">
        <f t="shared" si="12"/>
        <v/>
      </c>
      <c r="H307" s="68" t="str">
        <f t="shared" si="13"/>
        <v/>
      </c>
      <c r="I307" s="60" t="str">
        <f t="shared" si="14"/>
        <v/>
      </c>
      <c r="J307" s="40"/>
    </row>
    <row r="308" spans="1:10" ht="29.1" customHeight="1" x14ac:dyDescent="0.25">
      <c r="A308" s="197" t="s">
        <v>310</v>
      </c>
      <c r="B308" s="173"/>
      <c r="C308" s="173"/>
      <c r="D308" s="173"/>
      <c r="E308" s="173"/>
      <c r="F308" s="173"/>
      <c r="G308" s="173"/>
      <c r="H308" s="173"/>
      <c r="I308" s="173"/>
      <c r="J308" s="173"/>
    </row>
    <row r="309" spans="1:10" x14ac:dyDescent="0.25">
      <c r="A309" s="190" t="s">
        <v>112</v>
      </c>
      <c r="B309" s="191"/>
      <c r="C309" s="30">
        <f>SUMPRODUCT(--('10. Mileage Log'!$B$8:$B$307&lt;&gt;""))</f>
        <v>0</v>
      </c>
    </row>
    <row r="310" spans="1:10" x14ac:dyDescent="0.25">
      <c r="A310" s="190" t="s">
        <v>113</v>
      </c>
      <c r="B310" s="191"/>
      <c r="C310" s="30">
        <v>300</v>
      </c>
    </row>
    <row r="311" spans="1:10" x14ac:dyDescent="0.25">
      <c r="A311" s="190" t="s">
        <v>114</v>
      </c>
      <c r="B311" s="191"/>
      <c r="C311" s="30">
        <f>MAX(0,300-$C$309)</f>
        <v>300</v>
      </c>
    </row>
    <row r="312" spans="1:10" x14ac:dyDescent="0.25">
      <c r="A312" s="194" t="s">
        <v>115</v>
      </c>
      <c r="B312" s="191"/>
      <c r="C312" s="31" t="str">
        <f>IF($C$311&lt;=0,"FULL - no more rows can be entered",IF($C$311&lt;=50,"NEARLY FULL - contact Powell United","OK"))</f>
        <v>OK</v>
      </c>
      <c r="D312" s="193" t="s">
        <v>311</v>
      </c>
      <c r="E312" s="173"/>
      <c r="F312" s="173"/>
      <c r="G312" s="173"/>
      <c r="H312" s="173"/>
      <c r="I312" s="173"/>
      <c r="J312" s="173"/>
    </row>
    <row r="313" spans="1:10" ht="8.1" customHeight="1" x14ac:dyDescent="0.25"/>
    <row r="314" spans="1:10" ht="8.1" customHeight="1" x14ac:dyDescent="0.25"/>
    <row r="315" spans="1:10" x14ac:dyDescent="0.25">
      <c r="E315" s="70" t="s">
        <v>312</v>
      </c>
      <c r="F315" s="82">
        <f>SUM(F8:F307)</f>
        <v>0</v>
      </c>
      <c r="H315" s="71">
        <f>SUMIF($H$8:$H$307,"&gt;=0")</f>
        <v>0</v>
      </c>
    </row>
    <row r="316" spans="1:10" x14ac:dyDescent="0.25">
      <c r="E316" s="83" t="s">
        <v>313</v>
      </c>
      <c r="F316" s="84">
        <f>SUMIF($I$8:$I$307,"mileage_business_h1",$F$8:$F$307)</f>
        <v>0</v>
      </c>
      <c r="H316" s="85">
        <f>SUMIF($I$8:$I$307,"mileage_business_h1",$H$8:$H$307)</f>
        <v>0</v>
      </c>
    </row>
    <row r="317" spans="1:10" x14ac:dyDescent="0.25">
      <c r="E317" s="83" t="s">
        <v>314</v>
      </c>
      <c r="F317" s="84">
        <f>SUMIF($I$8:$I$307,"mileage_business_h2",$F$8:$F$307)</f>
        <v>0</v>
      </c>
      <c r="H317" s="85">
        <f>SUMIF($I$8:$I$307,"mileage_business_h2",$H$8:$H$307)</f>
        <v>0</v>
      </c>
    </row>
    <row r="318" spans="1:10" ht="8.1" customHeight="1" x14ac:dyDescent="0.25"/>
    <row r="319" spans="1:10" ht="15.6" customHeight="1" x14ac:dyDescent="0.25">
      <c r="A319" s="187" t="s">
        <v>69</v>
      </c>
      <c r="B319" s="173"/>
      <c r="C319" s="173"/>
      <c r="D319" s="173"/>
      <c r="E319" s="173"/>
      <c r="F319" s="173"/>
      <c r="G319" s="173"/>
      <c r="H319" s="173"/>
      <c r="I319" s="173"/>
      <c r="J319" s="173"/>
    </row>
  </sheetData>
  <sheetProtection sheet="1" formatCells="0" formatColumns="0" formatRows="0" insertRows="0" deleteRows="0"/>
  <autoFilter ref="B7:J307" xr:uid="{00000000-0009-0000-0000-000009000000}"/>
  <mergeCells count="11">
    <mergeCell ref="A1:J1"/>
    <mergeCell ref="A5:J5"/>
    <mergeCell ref="A310:B310"/>
    <mergeCell ref="D312:J312"/>
    <mergeCell ref="A3:J3"/>
    <mergeCell ref="A309:B309"/>
    <mergeCell ref="A319:J319"/>
    <mergeCell ref="A312:B312"/>
    <mergeCell ref="A2:J2"/>
    <mergeCell ref="A311:B311"/>
    <mergeCell ref="A308:J308"/>
  </mergeCells>
  <conditionalFormatting sqref="C312">
    <cfRule type="cellIs" dxfId="23" priority="2" operator="equal">
      <formula>"FULL - no more rows can be entered"</formula>
    </cfRule>
    <cfRule type="cellIs" dxfId="22" priority="3" operator="equal">
      <formula>"NEARLY FULL - contact Powell United"</formula>
    </cfRule>
    <cfRule type="cellIs" dxfId="21" priority="4" operator="equal">
      <formula>"OK"</formula>
    </cfRule>
  </conditionalFormatting>
  <conditionalFormatting sqref="H8:H307">
    <cfRule type="cellIs" dxfId="20" priority="1" operator="equal">
      <formula>"REVIEW - no 2026 rate for this date"</formula>
    </cfRule>
  </conditionalFormatting>
  <dataValidations count="2">
    <dataValidation type="decimal" operator="greaterThanOrEqual" allowBlank="1" showErrorMessage="1" errorTitle="Amount must be zero or positive" error="Enter a positive number. Money In and Money Out are separate columns, so amounts are never negative." sqref="F8:F307" xr:uid="{00000000-0002-0000-0900-000000000000}">
      <formula1>0</formula1>
    </dataValidation>
    <dataValidation type="date" allowBlank="1" showErrorMessage="1" errorTitle="Enter a real date" error="Use a date, for example 03/14/2026." sqref="B8:B307" xr:uid="{00000000-0002-0000-0900-000001000000}">
      <formula1>DATE(2000,1,1)</formula1>
      <formula2>DATE(2100,12,31)</formula2>
    </dataValidation>
  </dataValidation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1:O77"/>
  <sheetViews>
    <sheetView showGridLines="0" workbookViewId="0">
      <pane xSplit="2" ySplit="7" topLeftCell="C8" activePane="bottomRight" state="frozen"/>
      <selection pane="topRight"/>
      <selection pane="bottomLeft"/>
      <selection pane="bottomRight"/>
    </sheetView>
  </sheetViews>
  <sheetFormatPr defaultRowHeight="15" x14ac:dyDescent="0.25"/>
  <cols>
    <col min="1" max="1" width="3" customWidth="1"/>
    <col min="2" max="2" width="22" customWidth="1"/>
    <col min="3" max="5" width="11" customWidth="1"/>
    <col min="6" max="9" width="15" customWidth="1"/>
    <col min="10" max="11" width="14" customWidth="1"/>
    <col min="12" max="12" width="15" customWidth="1"/>
    <col min="13" max="13" width="13" customWidth="1"/>
    <col min="14" max="14" width="18" customWidth="1"/>
    <col min="15" max="15" width="30" customWidth="1"/>
  </cols>
  <sheetData>
    <row r="1" spans="1:15" ht="27.95" customHeight="1" x14ac:dyDescent="0.25">
      <c r="A1" s="222" t="s">
        <v>315</v>
      </c>
      <c r="B1" s="173"/>
      <c r="C1" s="173"/>
      <c r="D1" s="173"/>
      <c r="E1" s="173"/>
      <c r="F1" s="173"/>
      <c r="G1" s="173"/>
      <c r="H1" s="173"/>
      <c r="I1" s="173"/>
      <c r="J1" s="173"/>
      <c r="K1" s="173"/>
      <c r="L1" s="173"/>
      <c r="M1" s="173"/>
      <c r="N1" s="173"/>
      <c r="O1" s="173"/>
    </row>
    <row r="2" spans="1:15" ht="17.100000000000001" customHeight="1" x14ac:dyDescent="0.25">
      <c r="A2" s="188" t="s">
        <v>316</v>
      </c>
      <c r="B2" s="173"/>
      <c r="C2" s="173"/>
      <c r="D2" s="173"/>
      <c r="E2" s="173"/>
      <c r="F2" s="173"/>
      <c r="G2" s="173"/>
      <c r="H2" s="173"/>
      <c r="I2" s="173"/>
      <c r="J2" s="173"/>
      <c r="K2" s="173"/>
      <c r="L2" s="173"/>
      <c r="M2" s="173"/>
      <c r="N2" s="173"/>
      <c r="O2" s="173"/>
    </row>
    <row r="3" spans="1:15" ht="14.1" customHeight="1" x14ac:dyDescent="0.25">
      <c r="A3" s="179" t="s">
        <v>2</v>
      </c>
      <c r="B3" s="173"/>
      <c r="C3" s="173"/>
      <c r="D3" s="173"/>
      <c r="E3" s="173"/>
      <c r="F3" s="173"/>
      <c r="G3" s="173"/>
      <c r="H3" s="173"/>
      <c r="I3" s="173"/>
      <c r="J3" s="173"/>
      <c r="K3" s="173"/>
      <c r="L3" s="173"/>
      <c r="M3" s="173"/>
      <c r="N3" s="173"/>
      <c r="O3" s="173"/>
    </row>
    <row r="4" spans="1:15" ht="96.6" customHeight="1" x14ac:dyDescent="0.25">
      <c r="A4" s="215" t="s">
        <v>317</v>
      </c>
      <c r="B4" s="173"/>
      <c r="C4" s="173"/>
      <c r="D4" s="173"/>
      <c r="E4" s="173"/>
      <c r="F4" s="173"/>
      <c r="G4" s="173"/>
      <c r="H4" s="173"/>
      <c r="I4" s="173"/>
      <c r="J4" s="173"/>
      <c r="K4" s="173"/>
      <c r="L4" s="173"/>
      <c r="M4" s="173"/>
      <c r="N4" s="173"/>
      <c r="O4" s="173"/>
    </row>
    <row r="5" spans="1:15" ht="16.350000000000001" customHeight="1" x14ac:dyDescent="0.25">
      <c r="A5" s="192" t="s">
        <v>318</v>
      </c>
      <c r="B5" s="173"/>
      <c r="C5" s="173"/>
      <c r="D5" s="173"/>
      <c r="E5" s="173"/>
      <c r="F5" s="173"/>
      <c r="G5" s="173"/>
      <c r="H5" s="173"/>
      <c r="I5" s="173"/>
      <c r="J5" s="173"/>
      <c r="K5" s="173"/>
      <c r="L5" s="173"/>
      <c r="M5" s="173"/>
      <c r="N5" s="173"/>
      <c r="O5" s="173"/>
    </row>
    <row r="6" spans="1:15" ht="30.6" customHeight="1" x14ac:dyDescent="0.25">
      <c r="A6" s="195" t="s">
        <v>319</v>
      </c>
      <c r="B6" s="173"/>
      <c r="C6" s="173"/>
      <c r="D6" s="173"/>
      <c r="E6" s="173"/>
      <c r="F6" s="173"/>
      <c r="G6" s="173"/>
      <c r="H6" s="173"/>
      <c r="I6" s="173"/>
      <c r="J6" s="173"/>
      <c r="K6" s="173"/>
      <c r="L6" s="173"/>
      <c r="M6" s="173"/>
      <c r="N6" s="173"/>
      <c r="O6" s="173"/>
    </row>
    <row r="7" spans="1:15" ht="39.950000000000003" customHeight="1" x14ac:dyDescent="0.25">
      <c r="A7" s="27"/>
      <c r="B7" s="27" t="s">
        <v>153</v>
      </c>
      <c r="C7" s="27" t="s">
        <v>107</v>
      </c>
      <c r="D7" s="27" t="s">
        <v>320</v>
      </c>
      <c r="E7" s="27" t="s">
        <v>321</v>
      </c>
      <c r="F7" s="27" t="s">
        <v>322</v>
      </c>
      <c r="G7" s="27" t="s">
        <v>323</v>
      </c>
      <c r="H7" s="27" t="s">
        <v>176</v>
      </c>
      <c r="I7" s="27" t="s">
        <v>177</v>
      </c>
      <c r="J7" s="27" t="s">
        <v>324</v>
      </c>
      <c r="K7" s="27" t="s">
        <v>325</v>
      </c>
      <c r="L7" s="27" t="s">
        <v>326</v>
      </c>
      <c r="M7" s="27" t="s">
        <v>224</v>
      </c>
      <c r="N7" s="27" t="s">
        <v>294</v>
      </c>
      <c r="O7" s="27" t="s">
        <v>204</v>
      </c>
    </row>
    <row r="8" spans="1:15" x14ac:dyDescent="0.25">
      <c r="B8" s="28"/>
      <c r="C8" s="41" t="str">
        <f t="shared" ref="C8:C39" si="0">IF($B8="","",IFERROR(INDEX(Acct_Type,MATCH($B8,Acct_Name,0)),"?"))</f>
        <v/>
      </c>
      <c r="D8" s="37"/>
      <c r="E8" s="37"/>
      <c r="F8" s="38"/>
      <c r="G8" s="38"/>
      <c r="H8" s="38"/>
      <c r="I8" s="38"/>
      <c r="J8" s="56" t="str">
        <f t="shared" ref="J8:J39" si="1">IF($B8="","",SUMIFS(Txn_In,Txn_Acct,$B8,Txn_Date,"&gt;="&amp;$D8,Txn_Date,"&lt;="&amp;$E8))</f>
        <v/>
      </c>
      <c r="K8" s="56" t="str">
        <f t="shared" ref="K8:K39" si="2">IF($B8="","",SUMIFS(Txn_Out,Txn_Acct,$B8,Txn_Date,"&gt;="&amp;$D8,Txn_Date,"&lt;="&amp;$E8))</f>
        <v/>
      </c>
      <c r="L8" s="65" t="str">
        <f t="shared" ref="L8:L39" si="3">IF($B8="","",ROUND(IF($C8="Credit Card",N($F8)-$J8+$K8,N($F8)+$J8-$K8),2))</f>
        <v/>
      </c>
      <c r="M8" s="65" t="str">
        <f t="shared" ref="M8:M39" si="4">IF(OR($B8="",$G8=""),"",ROUND(N($G8)-$L8,2))</f>
        <v/>
      </c>
      <c r="N8" s="66" t="str">
        <f t="shared" ref="N8:N39" si="5">IF(OR($B8="",$G8=""),"",IF(ABS(N($M8))&gt;=0.005,"OUT OF BALANCE",IF(AND($H8&lt;&gt;"",ABS(N($H8)-$J8)&gt;=0.005),"CHECK DEPOSITS",IF(AND($I8&lt;&gt;"",ABS(N($I8)-$K8)&gt;=0.005),"CHECK WITHDRAWALS","Reconciled"))))</f>
        <v/>
      </c>
      <c r="O8" s="40"/>
    </row>
    <row r="9" spans="1:15" x14ac:dyDescent="0.25">
      <c r="B9" s="28"/>
      <c r="C9" s="45" t="str">
        <f t="shared" si="0"/>
        <v/>
      </c>
      <c r="D9" s="37"/>
      <c r="E9" s="37"/>
      <c r="F9" s="38"/>
      <c r="G9" s="38"/>
      <c r="H9" s="38"/>
      <c r="I9" s="38"/>
      <c r="J9" s="63" t="str">
        <f t="shared" si="1"/>
        <v/>
      </c>
      <c r="K9" s="63" t="str">
        <f t="shared" si="2"/>
        <v/>
      </c>
      <c r="L9" s="68" t="str">
        <f t="shared" si="3"/>
        <v/>
      </c>
      <c r="M9" s="68" t="str">
        <f t="shared" si="4"/>
        <v/>
      </c>
      <c r="N9" s="69" t="str">
        <f t="shared" si="5"/>
        <v/>
      </c>
      <c r="O9" s="40"/>
    </row>
    <row r="10" spans="1:15" x14ac:dyDescent="0.25">
      <c r="B10" s="28"/>
      <c r="C10" s="41" t="str">
        <f t="shared" si="0"/>
        <v/>
      </c>
      <c r="D10" s="37"/>
      <c r="E10" s="37"/>
      <c r="F10" s="38"/>
      <c r="G10" s="38"/>
      <c r="H10" s="38"/>
      <c r="I10" s="38"/>
      <c r="J10" s="56" t="str">
        <f t="shared" si="1"/>
        <v/>
      </c>
      <c r="K10" s="56" t="str">
        <f t="shared" si="2"/>
        <v/>
      </c>
      <c r="L10" s="65" t="str">
        <f t="shared" si="3"/>
        <v/>
      </c>
      <c r="M10" s="65" t="str">
        <f t="shared" si="4"/>
        <v/>
      </c>
      <c r="N10" s="66" t="str">
        <f t="shared" si="5"/>
        <v/>
      </c>
      <c r="O10" s="40"/>
    </row>
    <row r="11" spans="1:15" x14ac:dyDescent="0.25">
      <c r="B11" s="28"/>
      <c r="C11" s="45" t="str">
        <f t="shared" si="0"/>
        <v/>
      </c>
      <c r="D11" s="37"/>
      <c r="E11" s="37"/>
      <c r="F11" s="38"/>
      <c r="G11" s="38"/>
      <c r="H11" s="38"/>
      <c r="I11" s="38"/>
      <c r="J11" s="63" t="str">
        <f t="shared" si="1"/>
        <v/>
      </c>
      <c r="K11" s="63" t="str">
        <f t="shared" si="2"/>
        <v/>
      </c>
      <c r="L11" s="68" t="str">
        <f t="shared" si="3"/>
        <v/>
      </c>
      <c r="M11" s="68" t="str">
        <f t="shared" si="4"/>
        <v/>
      </c>
      <c r="N11" s="69" t="str">
        <f t="shared" si="5"/>
        <v/>
      </c>
      <c r="O11" s="40"/>
    </row>
    <row r="12" spans="1:15" x14ac:dyDescent="0.25">
      <c r="B12" s="28"/>
      <c r="C12" s="41" t="str">
        <f t="shared" si="0"/>
        <v/>
      </c>
      <c r="D12" s="37"/>
      <c r="E12" s="37"/>
      <c r="F12" s="38"/>
      <c r="G12" s="38"/>
      <c r="H12" s="38"/>
      <c r="I12" s="38"/>
      <c r="J12" s="56" t="str">
        <f t="shared" si="1"/>
        <v/>
      </c>
      <c r="K12" s="56" t="str">
        <f t="shared" si="2"/>
        <v/>
      </c>
      <c r="L12" s="65" t="str">
        <f t="shared" si="3"/>
        <v/>
      </c>
      <c r="M12" s="65" t="str">
        <f t="shared" si="4"/>
        <v/>
      </c>
      <c r="N12" s="66" t="str">
        <f t="shared" si="5"/>
        <v/>
      </c>
      <c r="O12" s="40"/>
    </row>
    <row r="13" spans="1:15" x14ac:dyDescent="0.25">
      <c r="B13" s="28"/>
      <c r="C13" s="45" t="str">
        <f t="shared" si="0"/>
        <v/>
      </c>
      <c r="D13" s="37"/>
      <c r="E13" s="37"/>
      <c r="F13" s="38"/>
      <c r="G13" s="38"/>
      <c r="H13" s="38"/>
      <c r="I13" s="38"/>
      <c r="J13" s="63" t="str">
        <f t="shared" si="1"/>
        <v/>
      </c>
      <c r="K13" s="63" t="str">
        <f t="shared" si="2"/>
        <v/>
      </c>
      <c r="L13" s="68" t="str">
        <f t="shared" si="3"/>
        <v/>
      </c>
      <c r="M13" s="68" t="str">
        <f t="shared" si="4"/>
        <v/>
      </c>
      <c r="N13" s="69" t="str">
        <f t="shared" si="5"/>
        <v/>
      </c>
      <c r="O13" s="40"/>
    </row>
    <row r="14" spans="1:15" x14ac:dyDescent="0.25">
      <c r="B14" s="28"/>
      <c r="C14" s="41" t="str">
        <f t="shared" si="0"/>
        <v/>
      </c>
      <c r="D14" s="37"/>
      <c r="E14" s="37"/>
      <c r="F14" s="38"/>
      <c r="G14" s="38"/>
      <c r="H14" s="38"/>
      <c r="I14" s="38"/>
      <c r="J14" s="56" t="str">
        <f t="shared" si="1"/>
        <v/>
      </c>
      <c r="K14" s="56" t="str">
        <f t="shared" si="2"/>
        <v/>
      </c>
      <c r="L14" s="65" t="str">
        <f t="shared" si="3"/>
        <v/>
      </c>
      <c r="M14" s="65" t="str">
        <f t="shared" si="4"/>
        <v/>
      </c>
      <c r="N14" s="66" t="str">
        <f t="shared" si="5"/>
        <v/>
      </c>
      <c r="O14" s="40"/>
    </row>
    <row r="15" spans="1:15" x14ac:dyDescent="0.25">
      <c r="B15" s="28"/>
      <c r="C15" s="45" t="str">
        <f t="shared" si="0"/>
        <v/>
      </c>
      <c r="D15" s="37"/>
      <c r="E15" s="37"/>
      <c r="F15" s="38"/>
      <c r="G15" s="38"/>
      <c r="H15" s="38"/>
      <c r="I15" s="38"/>
      <c r="J15" s="63" t="str">
        <f t="shared" si="1"/>
        <v/>
      </c>
      <c r="K15" s="63" t="str">
        <f t="shared" si="2"/>
        <v/>
      </c>
      <c r="L15" s="68" t="str">
        <f t="shared" si="3"/>
        <v/>
      </c>
      <c r="M15" s="68" t="str">
        <f t="shared" si="4"/>
        <v/>
      </c>
      <c r="N15" s="69" t="str">
        <f t="shared" si="5"/>
        <v/>
      </c>
      <c r="O15" s="40"/>
    </row>
    <row r="16" spans="1:15" x14ac:dyDescent="0.25">
      <c r="B16" s="28"/>
      <c r="C16" s="41" t="str">
        <f t="shared" si="0"/>
        <v/>
      </c>
      <c r="D16" s="37"/>
      <c r="E16" s="37"/>
      <c r="F16" s="38"/>
      <c r="G16" s="38"/>
      <c r="H16" s="38"/>
      <c r="I16" s="38"/>
      <c r="J16" s="56" t="str">
        <f t="shared" si="1"/>
        <v/>
      </c>
      <c r="K16" s="56" t="str">
        <f t="shared" si="2"/>
        <v/>
      </c>
      <c r="L16" s="65" t="str">
        <f t="shared" si="3"/>
        <v/>
      </c>
      <c r="M16" s="65" t="str">
        <f t="shared" si="4"/>
        <v/>
      </c>
      <c r="N16" s="66" t="str">
        <f t="shared" si="5"/>
        <v/>
      </c>
      <c r="O16" s="40"/>
    </row>
    <row r="17" spans="2:15" x14ac:dyDescent="0.25">
      <c r="B17" s="28"/>
      <c r="C17" s="45" t="str">
        <f t="shared" si="0"/>
        <v/>
      </c>
      <c r="D17" s="37"/>
      <c r="E17" s="37"/>
      <c r="F17" s="38"/>
      <c r="G17" s="38"/>
      <c r="H17" s="38"/>
      <c r="I17" s="38"/>
      <c r="J17" s="63" t="str">
        <f t="shared" si="1"/>
        <v/>
      </c>
      <c r="K17" s="63" t="str">
        <f t="shared" si="2"/>
        <v/>
      </c>
      <c r="L17" s="68" t="str">
        <f t="shared" si="3"/>
        <v/>
      </c>
      <c r="M17" s="68" t="str">
        <f t="shared" si="4"/>
        <v/>
      </c>
      <c r="N17" s="69" t="str">
        <f t="shared" si="5"/>
        <v/>
      </c>
      <c r="O17" s="40"/>
    </row>
    <row r="18" spans="2:15" x14ac:dyDescent="0.25">
      <c r="B18" s="28"/>
      <c r="C18" s="41" t="str">
        <f t="shared" si="0"/>
        <v/>
      </c>
      <c r="D18" s="37"/>
      <c r="E18" s="37"/>
      <c r="F18" s="38"/>
      <c r="G18" s="38"/>
      <c r="H18" s="38"/>
      <c r="I18" s="38"/>
      <c r="J18" s="56" t="str">
        <f t="shared" si="1"/>
        <v/>
      </c>
      <c r="K18" s="56" t="str">
        <f t="shared" si="2"/>
        <v/>
      </c>
      <c r="L18" s="65" t="str">
        <f t="shared" si="3"/>
        <v/>
      </c>
      <c r="M18" s="65" t="str">
        <f t="shared" si="4"/>
        <v/>
      </c>
      <c r="N18" s="66" t="str">
        <f t="shared" si="5"/>
        <v/>
      </c>
      <c r="O18" s="40"/>
    </row>
    <row r="19" spans="2:15" x14ac:dyDescent="0.25">
      <c r="B19" s="28"/>
      <c r="C19" s="45" t="str">
        <f t="shared" si="0"/>
        <v/>
      </c>
      <c r="D19" s="37"/>
      <c r="E19" s="37"/>
      <c r="F19" s="38"/>
      <c r="G19" s="38"/>
      <c r="H19" s="38"/>
      <c r="I19" s="38"/>
      <c r="J19" s="63" t="str">
        <f t="shared" si="1"/>
        <v/>
      </c>
      <c r="K19" s="63" t="str">
        <f t="shared" si="2"/>
        <v/>
      </c>
      <c r="L19" s="68" t="str">
        <f t="shared" si="3"/>
        <v/>
      </c>
      <c r="M19" s="68" t="str">
        <f t="shared" si="4"/>
        <v/>
      </c>
      <c r="N19" s="69" t="str">
        <f t="shared" si="5"/>
        <v/>
      </c>
      <c r="O19" s="40"/>
    </row>
    <row r="20" spans="2:15" x14ac:dyDescent="0.25">
      <c r="B20" s="28"/>
      <c r="C20" s="41" t="str">
        <f t="shared" si="0"/>
        <v/>
      </c>
      <c r="D20" s="37"/>
      <c r="E20" s="37"/>
      <c r="F20" s="38"/>
      <c r="G20" s="38"/>
      <c r="H20" s="38"/>
      <c r="I20" s="38"/>
      <c r="J20" s="56" t="str">
        <f t="shared" si="1"/>
        <v/>
      </c>
      <c r="K20" s="56" t="str">
        <f t="shared" si="2"/>
        <v/>
      </c>
      <c r="L20" s="65" t="str">
        <f t="shared" si="3"/>
        <v/>
      </c>
      <c r="M20" s="65" t="str">
        <f t="shared" si="4"/>
        <v/>
      </c>
      <c r="N20" s="66" t="str">
        <f t="shared" si="5"/>
        <v/>
      </c>
      <c r="O20" s="40"/>
    </row>
    <row r="21" spans="2:15" x14ac:dyDescent="0.25">
      <c r="B21" s="28"/>
      <c r="C21" s="45" t="str">
        <f t="shared" si="0"/>
        <v/>
      </c>
      <c r="D21" s="37"/>
      <c r="E21" s="37"/>
      <c r="F21" s="38"/>
      <c r="G21" s="38"/>
      <c r="H21" s="38"/>
      <c r="I21" s="38"/>
      <c r="J21" s="63" t="str">
        <f t="shared" si="1"/>
        <v/>
      </c>
      <c r="K21" s="63" t="str">
        <f t="shared" si="2"/>
        <v/>
      </c>
      <c r="L21" s="68" t="str">
        <f t="shared" si="3"/>
        <v/>
      </c>
      <c r="M21" s="68" t="str">
        <f t="shared" si="4"/>
        <v/>
      </c>
      <c r="N21" s="69" t="str">
        <f t="shared" si="5"/>
        <v/>
      </c>
      <c r="O21" s="40"/>
    </row>
    <row r="22" spans="2:15" x14ac:dyDescent="0.25">
      <c r="B22" s="28"/>
      <c r="C22" s="41" t="str">
        <f t="shared" si="0"/>
        <v/>
      </c>
      <c r="D22" s="37"/>
      <c r="E22" s="37"/>
      <c r="F22" s="38"/>
      <c r="G22" s="38"/>
      <c r="H22" s="38"/>
      <c r="I22" s="38"/>
      <c r="J22" s="56" t="str">
        <f t="shared" si="1"/>
        <v/>
      </c>
      <c r="K22" s="56" t="str">
        <f t="shared" si="2"/>
        <v/>
      </c>
      <c r="L22" s="65" t="str">
        <f t="shared" si="3"/>
        <v/>
      </c>
      <c r="M22" s="65" t="str">
        <f t="shared" si="4"/>
        <v/>
      </c>
      <c r="N22" s="66" t="str">
        <f t="shared" si="5"/>
        <v/>
      </c>
      <c r="O22" s="40"/>
    </row>
    <row r="23" spans="2:15" x14ac:dyDescent="0.25">
      <c r="B23" s="28"/>
      <c r="C23" s="45" t="str">
        <f t="shared" si="0"/>
        <v/>
      </c>
      <c r="D23" s="37"/>
      <c r="E23" s="37"/>
      <c r="F23" s="38"/>
      <c r="G23" s="38"/>
      <c r="H23" s="38"/>
      <c r="I23" s="38"/>
      <c r="J23" s="63" t="str">
        <f t="shared" si="1"/>
        <v/>
      </c>
      <c r="K23" s="63" t="str">
        <f t="shared" si="2"/>
        <v/>
      </c>
      <c r="L23" s="68" t="str">
        <f t="shared" si="3"/>
        <v/>
      </c>
      <c r="M23" s="68" t="str">
        <f t="shared" si="4"/>
        <v/>
      </c>
      <c r="N23" s="69" t="str">
        <f t="shared" si="5"/>
        <v/>
      </c>
      <c r="O23" s="40"/>
    </row>
    <row r="24" spans="2:15" x14ac:dyDescent="0.25">
      <c r="B24" s="28"/>
      <c r="C24" s="41" t="str">
        <f t="shared" si="0"/>
        <v/>
      </c>
      <c r="D24" s="37"/>
      <c r="E24" s="37"/>
      <c r="F24" s="38"/>
      <c r="G24" s="38"/>
      <c r="H24" s="38"/>
      <c r="I24" s="38"/>
      <c r="J24" s="56" t="str">
        <f t="shared" si="1"/>
        <v/>
      </c>
      <c r="K24" s="56" t="str">
        <f t="shared" si="2"/>
        <v/>
      </c>
      <c r="L24" s="65" t="str">
        <f t="shared" si="3"/>
        <v/>
      </c>
      <c r="M24" s="65" t="str">
        <f t="shared" si="4"/>
        <v/>
      </c>
      <c r="N24" s="66" t="str">
        <f t="shared" si="5"/>
        <v/>
      </c>
      <c r="O24" s="40"/>
    </row>
    <row r="25" spans="2:15" x14ac:dyDescent="0.25">
      <c r="B25" s="28"/>
      <c r="C25" s="45" t="str">
        <f t="shared" si="0"/>
        <v/>
      </c>
      <c r="D25" s="37"/>
      <c r="E25" s="37"/>
      <c r="F25" s="38"/>
      <c r="G25" s="38"/>
      <c r="H25" s="38"/>
      <c r="I25" s="38"/>
      <c r="J25" s="63" t="str">
        <f t="shared" si="1"/>
        <v/>
      </c>
      <c r="K25" s="63" t="str">
        <f t="shared" si="2"/>
        <v/>
      </c>
      <c r="L25" s="68" t="str">
        <f t="shared" si="3"/>
        <v/>
      </c>
      <c r="M25" s="68" t="str">
        <f t="shared" si="4"/>
        <v/>
      </c>
      <c r="N25" s="69" t="str">
        <f t="shared" si="5"/>
        <v/>
      </c>
      <c r="O25" s="40"/>
    </row>
    <row r="26" spans="2:15" x14ac:dyDescent="0.25">
      <c r="B26" s="28"/>
      <c r="C26" s="41" t="str">
        <f t="shared" si="0"/>
        <v/>
      </c>
      <c r="D26" s="37"/>
      <c r="E26" s="37"/>
      <c r="F26" s="38"/>
      <c r="G26" s="38"/>
      <c r="H26" s="38"/>
      <c r="I26" s="38"/>
      <c r="J26" s="56" t="str">
        <f t="shared" si="1"/>
        <v/>
      </c>
      <c r="K26" s="56" t="str">
        <f t="shared" si="2"/>
        <v/>
      </c>
      <c r="L26" s="65" t="str">
        <f t="shared" si="3"/>
        <v/>
      </c>
      <c r="M26" s="65" t="str">
        <f t="shared" si="4"/>
        <v/>
      </c>
      <c r="N26" s="66" t="str">
        <f t="shared" si="5"/>
        <v/>
      </c>
      <c r="O26" s="40"/>
    </row>
    <row r="27" spans="2:15" x14ac:dyDescent="0.25">
      <c r="B27" s="28"/>
      <c r="C27" s="45" t="str">
        <f t="shared" si="0"/>
        <v/>
      </c>
      <c r="D27" s="37"/>
      <c r="E27" s="37"/>
      <c r="F27" s="38"/>
      <c r="G27" s="38"/>
      <c r="H27" s="38"/>
      <c r="I27" s="38"/>
      <c r="J27" s="63" t="str">
        <f t="shared" si="1"/>
        <v/>
      </c>
      <c r="K27" s="63" t="str">
        <f t="shared" si="2"/>
        <v/>
      </c>
      <c r="L27" s="68" t="str">
        <f t="shared" si="3"/>
        <v/>
      </c>
      <c r="M27" s="68" t="str">
        <f t="shared" si="4"/>
        <v/>
      </c>
      <c r="N27" s="69" t="str">
        <f t="shared" si="5"/>
        <v/>
      </c>
      <c r="O27" s="40"/>
    </row>
    <row r="28" spans="2:15" x14ac:dyDescent="0.25">
      <c r="B28" s="28"/>
      <c r="C28" s="41" t="str">
        <f t="shared" si="0"/>
        <v/>
      </c>
      <c r="D28" s="37"/>
      <c r="E28" s="37"/>
      <c r="F28" s="38"/>
      <c r="G28" s="38"/>
      <c r="H28" s="38"/>
      <c r="I28" s="38"/>
      <c r="J28" s="56" t="str">
        <f t="shared" si="1"/>
        <v/>
      </c>
      <c r="K28" s="56" t="str">
        <f t="shared" si="2"/>
        <v/>
      </c>
      <c r="L28" s="65" t="str">
        <f t="shared" si="3"/>
        <v/>
      </c>
      <c r="M28" s="65" t="str">
        <f t="shared" si="4"/>
        <v/>
      </c>
      <c r="N28" s="66" t="str">
        <f t="shared" si="5"/>
        <v/>
      </c>
      <c r="O28" s="40"/>
    </row>
    <row r="29" spans="2:15" x14ac:dyDescent="0.25">
      <c r="B29" s="28"/>
      <c r="C29" s="45" t="str">
        <f t="shared" si="0"/>
        <v/>
      </c>
      <c r="D29" s="37"/>
      <c r="E29" s="37"/>
      <c r="F29" s="38"/>
      <c r="G29" s="38"/>
      <c r="H29" s="38"/>
      <c r="I29" s="38"/>
      <c r="J29" s="63" t="str">
        <f t="shared" si="1"/>
        <v/>
      </c>
      <c r="K29" s="63" t="str">
        <f t="shared" si="2"/>
        <v/>
      </c>
      <c r="L29" s="68" t="str">
        <f t="shared" si="3"/>
        <v/>
      </c>
      <c r="M29" s="68" t="str">
        <f t="shared" si="4"/>
        <v/>
      </c>
      <c r="N29" s="69" t="str">
        <f t="shared" si="5"/>
        <v/>
      </c>
      <c r="O29" s="40"/>
    </row>
    <row r="30" spans="2:15" x14ac:dyDescent="0.25">
      <c r="B30" s="28"/>
      <c r="C30" s="41" t="str">
        <f t="shared" si="0"/>
        <v/>
      </c>
      <c r="D30" s="37"/>
      <c r="E30" s="37"/>
      <c r="F30" s="38"/>
      <c r="G30" s="38"/>
      <c r="H30" s="38"/>
      <c r="I30" s="38"/>
      <c r="J30" s="56" t="str">
        <f t="shared" si="1"/>
        <v/>
      </c>
      <c r="K30" s="56" t="str">
        <f t="shared" si="2"/>
        <v/>
      </c>
      <c r="L30" s="65" t="str">
        <f t="shared" si="3"/>
        <v/>
      </c>
      <c r="M30" s="65" t="str">
        <f t="shared" si="4"/>
        <v/>
      </c>
      <c r="N30" s="66" t="str">
        <f t="shared" si="5"/>
        <v/>
      </c>
      <c r="O30" s="40"/>
    </row>
    <row r="31" spans="2:15" x14ac:dyDescent="0.25">
      <c r="B31" s="28"/>
      <c r="C31" s="45" t="str">
        <f t="shared" si="0"/>
        <v/>
      </c>
      <c r="D31" s="37"/>
      <c r="E31" s="37"/>
      <c r="F31" s="38"/>
      <c r="G31" s="38"/>
      <c r="H31" s="38"/>
      <c r="I31" s="38"/>
      <c r="J31" s="63" t="str">
        <f t="shared" si="1"/>
        <v/>
      </c>
      <c r="K31" s="63" t="str">
        <f t="shared" si="2"/>
        <v/>
      </c>
      <c r="L31" s="68" t="str">
        <f t="shared" si="3"/>
        <v/>
      </c>
      <c r="M31" s="68" t="str">
        <f t="shared" si="4"/>
        <v/>
      </c>
      <c r="N31" s="69" t="str">
        <f t="shared" si="5"/>
        <v/>
      </c>
      <c r="O31" s="40"/>
    </row>
    <row r="32" spans="2:15" x14ac:dyDescent="0.25">
      <c r="B32" s="28"/>
      <c r="C32" s="41" t="str">
        <f t="shared" si="0"/>
        <v/>
      </c>
      <c r="D32" s="37"/>
      <c r="E32" s="37"/>
      <c r="F32" s="38"/>
      <c r="G32" s="38"/>
      <c r="H32" s="38"/>
      <c r="I32" s="38"/>
      <c r="J32" s="56" t="str">
        <f t="shared" si="1"/>
        <v/>
      </c>
      <c r="K32" s="56" t="str">
        <f t="shared" si="2"/>
        <v/>
      </c>
      <c r="L32" s="65" t="str">
        <f t="shared" si="3"/>
        <v/>
      </c>
      <c r="M32" s="65" t="str">
        <f t="shared" si="4"/>
        <v/>
      </c>
      <c r="N32" s="66" t="str">
        <f t="shared" si="5"/>
        <v/>
      </c>
      <c r="O32" s="40"/>
    </row>
    <row r="33" spans="2:15" x14ac:dyDescent="0.25">
      <c r="B33" s="28"/>
      <c r="C33" s="45" t="str">
        <f t="shared" si="0"/>
        <v/>
      </c>
      <c r="D33" s="37"/>
      <c r="E33" s="37"/>
      <c r="F33" s="38"/>
      <c r="G33" s="38"/>
      <c r="H33" s="38"/>
      <c r="I33" s="38"/>
      <c r="J33" s="63" t="str">
        <f t="shared" si="1"/>
        <v/>
      </c>
      <c r="K33" s="63" t="str">
        <f t="shared" si="2"/>
        <v/>
      </c>
      <c r="L33" s="68" t="str">
        <f t="shared" si="3"/>
        <v/>
      </c>
      <c r="M33" s="68" t="str">
        <f t="shared" si="4"/>
        <v/>
      </c>
      <c r="N33" s="69" t="str">
        <f t="shared" si="5"/>
        <v/>
      </c>
      <c r="O33" s="40"/>
    </row>
    <row r="34" spans="2:15" x14ac:dyDescent="0.25">
      <c r="B34" s="28"/>
      <c r="C34" s="41" t="str">
        <f t="shared" si="0"/>
        <v/>
      </c>
      <c r="D34" s="37"/>
      <c r="E34" s="37"/>
      <c r="F34" s="38"/>
      <c r="G34" s="38"/>
      <c r="H34" s="38"/>
      <c r="I34" s="38"/>
      <c r="J34" s="56" t="str">
        <f t="shared" si="1"/>
        <v/>
      </c>
      <c r="K34" s="56" t="str">
        <f t="shared" si="2"/>
        <v/>
      </c>
      <c r="L34" s="65" t="str">
        <f t="shared" si="3"/>
        <v/>
      </c>
      <c r="M34" s="65" t="str">
        <f t="shared" si="4"/>
        <v/>
      </c>
      <c r="N34" s="66" t="str">
        <f t="shared" si="5"/>
        <v/>
      </c>
      <c r="O34" s="40"/>
    </row>
    <row r="35" spans="2:15" x14ac:dyDescent="0.25">
      <c r="B35" s="28"/>
      <c r="C35" s="45" t="str">
        <f t="shared" si="0"/>
        <v/>
      </c>
      <c r="D35" s="37"/>
      <c r="E35" s="37"/>
      <c r="F35" s="38"/>
      <c r="G35" s="38"/>
      <c r="H35" s="38"/>
      <c r="I35" s="38"/>
      <c r="J35" s="63" t="str">
        <f t="shared" si="1"/>
        <v/>
      </c>
      <c r="K35" s="63" t="str">
        <f t="shared" si="2"/>
        <v/>
      </c>
      <c r="L35" s="68" t="str">
        <f t="shared" si="3"/>
        <v/>
      </c>
      <c r="M35" s="68" t="str">
        <f t="shared" si="4"/>
        <v/>
      </c>
      <c r="N35" s="69" t="str">
        <f t="shared" si="5"/>
        <v/>
      </c>
      <c r="O35" s="40"/>
    </row>
    <row r="36" spans="2:15" x14ac:dyDescent="0.25">
      <c r="B36" s="28"/>
      <c r="C36" s="41" t="str">
        <f t="shared" si="0"/>
        <v/>
      </c>
      <c r="D36" s="37"/>
      <c r="E36" s="37"/>
      <c r="F36" s="38"/>
      <c r="G36" s="38"/>
      <c r="H36" s="38"/>
      <c r="I36" s="38"/>
      <c r="J36" s="56" t="str">
        <f t="shared" si="1"/>
        <v/>
      </c>
      <c r="K36" s="56" t="str">
        <f t="shared" si="2"/>
        <v/>
      </c>
      <c r="L36" s="65" t="str">
        <f t="shared" si="3"/>
        <v/>
      </c>
      <c r="M36" s="65" t="str">
        <f t="shared" si="4"/>
        <v/>
      </c>
      <c r="N36" s="66" t="str">
        <f t="shared" si="5"/>
        <v/>
      </c>
      <c r="O36" s="40"/>
    </row>
    <row r="37" spans="2:15" x14ac:dyDescent="0.25">
      <c r="B37" s="28"/>
      <c r="C37" s="45" t="str">
        <f t="shared" si="0"/>
        <v/>
      </c>
      <c r="D37" s="37"/>
      <c r="E37" s="37"/>
      <c r="F37" s="38"/>
      <c r="G37" s="38"/>
      <c r="H37" s="38"/>
      <c r="I37" s="38"/>
      <c r="J37" s="63" t="str">
        <f t="shared" si="1"/>
        <v/>
      </c>
      <c r="K37" s="63" t="str">
        <f t="shared" si="2"/>
        <v/>
      </c>
      <c r="L37" s="68" t="str">
        <f t="shared" si="3"/>
        <v/>
      </c>
      <c r="M37" s="68" t="str">
        <f t="shared" si="4"/>
        <v/>
      </c>
      <c r="N37" s="69" t="str">
        <f t="shared" si="5"/>
        <v/>
      </c>
      <c r="O37" s="40"/>
    </row>
    <row r="38" spans="2:15" x14ac:dyDescent="0.25">
      <c r="B38" s="28"/>
      <c r="C38" s="41" t="str">
        <f t="shared" si="0"/>
        <v/>
      </c>
      <c r="D38" s="37"/>
      <c r="E38" s="37"/>
      <c r="F38" s="38"/>
      <c r="G38" s="38"/>
      <c r="H38" s="38"/>
      <c r="I38" s="38"/>
      <c r="J38" s="56" t="str">
        <f t="shared" si="1"/>
        <v/>
      </c>
      <c r="K38" s="56" t="str">
        <f t="shared" si="2"/>
        <v/>
      </c>
      <c r="L38" s="65" t="str">
        <f t="shared" si="3"/>
        <v/>
      </c>
      <c r="M38" s="65" t="str">
        <f t="shared" si="4"/>
        <v/>
      </c>
      <c r="N38" s="66" t="str">
        <f t="shared" si="5"/>
        <v/>
      </c>
      <c r="O38" s="40"/>
    </row>
    <row r="39" spans="2:15" x14ac:dyDescent="0.25">
      <c r="B39" s="28"/>
      <c r="C39" s="45" t="str">
        <f t="shared" si="0"/>
        <v/>
      </c>
      <c r="D39" s="37"/>
      <c r="E39" s="37"/>
      <c r="F39" s="38"/>
      <c r="G39" s="38"/>
      <c r="H39" s="38"/>
      <c r="I39" s="38"/>
      <c r="J39" s="63" t="str">
        <f t="shared" si="1"/>
        <v/>
      </c>
      <c r="K39" s="63" t="str">
        <f t="shared" si="2"/>
        <v/>
      </c>
      <c r="L39" s="68" t="str">
        <f t="shared" si="3"/>
        <v/>
      </c>
      <c r="M39" s="68" t="str">
        <f t="shared" si="4"/>
        <v/>
      </c>
      <c r="N39" s="69" t="str">
        <f t="shared" si="5"/>
        <v/>
      </c>
      <c r="O39" s="40"/>
    </row>
    <row r="40" spans="2:15" x14ac:dyDescent="0.25">
      <c r="B40" s="28"/>
      <c r="C40" s="41" t="str">
        <f t="shared" ref="C40:C67" si="6">IF($B40="","",IFERROR(INDEX(Acct_Type,MATCH($B40,Acct_Name,0)),"?"))</f>
        <v/>
      </c>
      <c r="D40" s="37"/>
      <c r="E40" s="37"/>
      <c r="F40" s="38"/>
      <c r="G40" s="38"/>
      <c r="H40" s="38"/>
      <c r="I40" s="38"/>
      <c r="J40" s="56" t="str">
        <f t="shared" ref="J40:J67" si="7">IF($B40="","",SUMIFS(Txn_In,Txn_Acct,$B40,Txn_Date,"&gt;="&amp;$D40,Txn_Date,"&lt;="&amp;$E40))</f>
        <v/>
      </c>
      <c r="K40" s="56" t="str">
        <f t="shared" ref="K40:K67" si="8">IF($B40="","",SUMIFS(Txn_Out,Txn_Acct,$B40,Txn_Date,"&gt;="&amp;$D40,Txn_Date,"&lt;="&amp;$E40))</f>
        <v/>
      </c>
      <c r="L40" s="65" t="str">
        <f t="shared" ref="L40:L67" si="9">IF($B40="","",ROUND(IF($C40="Credit Card",N($F40)-$J40+$K40,N($F40)+$J40-$K40),2))</f>
        <v/>
      </c>
      <c r="M40" s="65" t="str">
        <f t="shared" ref="M40:M67" si="10">IF(OR($B40="",$G40=""),"",ROUND(N($G40)-$L40,2))</f>
        <v/>
      </c>
      <c r="N40" s="66" t="str">
        <f t="shared" ref="N40:N67" si="11">IF(OR($B40="",$G40=""),"",IF(ABS(N($M40))&gt;=0.005,"OUT OF BALANCE",IF(AND($H40&lt;&gt;"",ABS(N($H40)-$J40)&gt;=0.005),"CHECK DEPOSITS",IF(AND($I40&lt;&gt;"",ABS(N($I40)-$K40)&gt;=0.005),"CHECK WITHDRAWALS","Reconciled"))))</f>
        <v/>
      </c>
      <c r="O40" s="40"/>
    </row>
    <row r="41" spans="2:15" x14ac:dyDescent="0.25">
      <c r="B41" s="28"/>
      <c r="C41" s="45" t="str">
        <f t="shared" si="6"/>
        <v/>
      </c>
      <c r="D41" s="37"/>
      <c r="E41" s="37"/>
      <c r="F41" s="38"/>
      <c r="G41" s="38"/>
      <c r="H41" s="38"/>
      <c r="I41" s="38"/>
      <c r="J41" s="63" t="str">
        <f t="shared" si="7"/>
        <v/>
      </c>
      <c r="K41" s="63" t="str">
        <f t="shared" si="8"/>
        <v/>
      </c>
      <c r="L41" s="68" t="str">
        <f t="shared" si="9"/>
        <v/>
      </c>
      <c r="M41" s="68" t="str">
        <f t="shared" si="10"/>
        <v/>
      </c>
      <c r="N41" s="69" t="str">
        <f t="shared" si="11"/>
        <v/>
      </c>
      <c r="O41" s="40"/>
    </row>
    <row r="42" spans="2:15" x14ac:dyDescent="0.25">
      <c r="B42" s="28"/>
      <c r="C42" s="41" t="str">
        <f t="shared" si="6"/>
        <v/>
      </c>
      <c r="D42" s="37"/>
      <c r="E42" s="37"/>
      <c r="F42" s="38"/>
      <c r="G42" s="38"/>
      <c r="H42" s="38"/>
      <c r="I42" s="38"/>
      <c r="J42" s="56" t="str">
        <f t="shared" si="7"/>
        <v/>
      </c>
      <c r="K42" s="56" t="str">
        <f t="shared" si="8"/>
        <v/>
      </c>
      <c r="L42" s="65" t="str">
        <f t="shared" si="9"/>
        <v/>
      </c>
      <c r="M42" s="65" t="str">
        <f t="shared" si="10"/>
        <v/>
      </c>
      <c r="N42" s="66" t="str">
        <f t="shared" si="11"/>
        <v/>
      </c>
      <c r="O42" s="40"/>
    </row>
    <row r="43" spans="2:15" x14ac:dyDescent="0.25">
      <c r="B43" s="28"/>
      <c r="C43" s="45" t="str">
        <f t="shared" si="6"/>
        <v/>
      </c>
      <c r="D43" s="37"/>
      <c r="E43" s="37"/>
      <c r="F43" s="38"/>
      <c r="G43" s="38"/>
      <c r="H43" s="38"/>
      <c r="I43" s="38"/>
      <c r="J43" s="63" t="str">
        <f t="shared" si="7"/>
        <v/>
      </c>
      <c r="K43" s="63" t="str">
        <f t="shared" si="8"/>
        <v/>
      </c>
      <c r="L43" s="68" t="str">
        <f t="shared" si="9"/>
        <v/>
      </c>
      <c r="M43" s="68" t="str">
        <f t="shared" si="10"/>
        <v/>
      </c>
      <c r="N43" s="69" t="str">
        <f t="shared" si="11"/>
        <v/>
      </c>
      <c r="O43" s="40"/>
    </row>
    <row r="44" spans="2:15" x14ac:dyDescent="0.25">
      <c r="B44" s="28"/>
      <c r="C44" s="41" t="str">
        <f t="shared" si="6"/>
        <v/>
      </c>
      <c r="D44" s="37"/>
      <c r="E44" s="37"/>
      <c r="F44" s="38"/>
      <c r="G44" s="38"/>
      <c r="H44" s="38"/>
      <c r="I44" s="38"/>
      <c r="J44" s="56" t="str">
        <f t="shared" si="7"/>
        <v/>
      </c>
      <c r="K44" s="56" t="str">
        <f t="shared" si="8"/>
        <v/>
      </c>
      <c r="L44" s="65" t="str">
        <f t="shared" si="9"/>
        <v/>
      </c>
      <c r="M44" s="65" t="str">
        <f t="shared" si="10"/>
        <v/>
      </c>
      <c r="N44" s="66" t="str">
        <f t="shared" si="11"/>
        <v/>
      </c>
      <c r="O44" s="40"/>
    </row>
    <row r="45" spans="2:15" x14ac:dyDescent="0.25">
      <c r="B45" s="28"/>
      <c r="C45" s="45" t="str">
        <f t="shared" si="6"/>
        <v/>
      </c>
      <c r="D45" s="37"/>
      <c r="E45" s="37"/>
      <c r="F45" s="38"/>
      <c r="G45" s="38"/>
      <c r="H45" s="38"/>
      <c r="I45" s="38"/>
      <c r="J45" s="63" t="str">
        <f t="shared" si="7"/>
        <v/>
      </c>
      <c r="K45" s="63" t="str">
        <f t="shared" si="8"/>
        <v/>
      </c>
      <c r="L45" s="68" t="str">
        <f t="shared" si="9"/>
        <v/>
      </c>
      <c r="M45" s="68" t="str">
        <f t="shared" si="10"/>
        <v/>
      </c>
      <c r="N45" s="69" t="str">
        <f t="shared" si="11"/>
        <v/>
      </c>
      <c r="O45" s="40"/>
    </row>
    <row r="46" spans="2:15" x14ac:dyDescent="0.25">
      <c r="B46" s="28"/>
      <c r="C46" s="41" t="str">
        <f t="shared" si="6"/>
        <v/>
      </c>
      <c r="D46" s="37"/>
      <c r="E46" s="37"/>
      <c r="F46" s="38"/>
      <c r="G46" s="38"/>
      <c r="H46" s="38"/>
      <c r="I46" s="38"/>
      <c r="J46" s="56" t="str">
        <f t="shared" si="7"/>
        <v/>
      </c>
      <c r="K46" s="56" t="str">
        <f t="shared" si="8"/>
        <v/>
      </c>
      <c r="L46" s="65" t="str">
        <f t="shared" si="9"/>
        <v/>
      </c>
      <c r="M46" s="65" t="str">
        <f t="shared" si="10"/>
        <v/>
      </c>
      <c r="N46" s="66" t="str">
        <f t="shared" si="11"/>
        <v/>
      </c>
      <c r="O46" s="40"/>
    </row>
    <row r="47" spans="2:15" x14ac:dyDescent="0.25">
      <c r="B47" s="28"/>
      <c r="C47" s="45" t="str">
        <f t="shared" si="6"/>
        <v/>
      </c>
      <c r="D47" s="37"/>
      <c r="E47" s="37"/>
      <c r="F47" s="38"/>
      <c r="G47" s="38"/>
      <c r="H47" s="38"/>
      <c r="I47" s="38"/>
      <c r="J47" s="63" t="str">
        <f t="shared" si="7"/>
        <v/>
      </c>
      <c r="K47" s="63" t="str">
        <f t="shared" si="8"/>
        <v/>
      </c>
      <c r="L47" s="68" t="str">
        <f t="shared" si="9"/>
        <v/>
      </c>
      <c r="M47" s="68" t="str">
        <f t="shared" si="10"/>
        <v/>
      </c>
      <c r="N47" s="69" t="str">
        <f t="shared" si="11"/>
        <v/>
      </c>
      <c r="O47" s="40"/>
    </row>
    <row r="48" spans="2:15" x14ac:dyDescent="0.25">
      <c r="B48" s="28"/>
      <c r="C48" s="41" t="str">
        <f t="shared" si="6"/>
        <v/>
      </c>
      <c r="D48" s="37"/>
      <c r="E48" s="37"/>
      <c r="F48" s="38"/>
      <c r="G48" s="38"/>
      <c r="H48" s="38"/>
      <c r="I48" s="38"/>
      <c r="J48" s="56" t="str">
        <f t="shared" si="7"/>
        <v/>
      </c>
      <c r="K48" s="56" t="str">
        <f t="shared" si="8"/>
        <v/>
      </c>
      <c r="L48" s="65" t="str">
        <f t="shared" si="9"/>
        <v/>
      </c>
      <c r="M48" s="65" t="str">
        <f t="shared" si="10"/>
        <v/>
      </c>
      <c r="N48" s="66" t="str">
        <f t="shared" si="11"/>
        <v/>
      </c>
      <c r="O48" s="40"/>
    </row>
    <row r="49" spans="2:15" x14ac:dyDescent="0.25">
      <c r="B49" s="28"/>
      <c r="C49" s="45" t="str">
        <f t="shared" si="6"/>
        <v/>
      </c>
      <c r="D49" s="37"/>
      <c r="E49" s="37"/>
      <c r="F49" s="38"/>
      <c r="G49" s="38"/>
      <c r="H49" s="38"/>
      <c r="I49" s="38"/>
      <c r="J49" s="63" t="str">
        <f t="shared" si="7"/>
        <v/>
      </c>
      <c r="K49" s="63" t="str">
        <f t="shared" si="8"/>
        <v/>
      </c>
      <c r="L49" s="68" t="str">
        <f t="shared" si="9"/>
        <v/>
      </c>
      <c r="M49" s="68" t="str">
        <f t="shared" si="10"/>
        <v/>
      </c>
      <c r="N49" s="69" t="str">
        <f t="shared" si="11"/>
        <v/>
      </c>
      <c r="O49" s="40"/>
    </row>
    <row r="50" spans="2:15" x14ac:dyDescent="0.25">
      <c r="B50" s="28"/>
      <c r="C50" s="41" t="str">
        <f t="shared" si="6"/>
        <v/>
      </c>
      <c r="D50" s="37"/>
      <c r="E50" s="37"/>
      <c r="F50" s="38"/>
      <c r="G50" s="38"/>
      <c r="H50" s="38"/>
      <c r="I50" s="38"/>
      <c r="J50" s="56" t="str">
        <f t="shared" si="7"/>
        <v/>
      </c>
      <c r="K50" s="56" t="str">
        <f t="shared" si="8"/>
        <v/>
      </c>
      <c r="L50" s="65" t="str">
        <f t="shared" si="9"/>
        <v/>
      </c>
      <c r="M50" s="65" t="str">
        <f t="shared" si="10"/>
        <v/>
      </c>
      <c r="N50" s="66" t="str">
        <f t="shared" si="11"/>
        <v/>
      </c>
      <c r="O50" s="40"/>
    </row>
    <row r="51" spans="2:15" x14ac:dyDescent="0.25">
      <c r="B51" s="28"/>
      <c r="C51" s="45" t="str">
        <f t="shared" si="6"/>
        <v/>
      </c>
      <c r="D51" s="37"/>
      <c r="E51" s="37"/>
      <c r="F51" s="38"/>
      <c r="G51" s="38"/>
      <c r="H51" s="38"/>
      <c r="I51" s="38"/>
      <c r="J51" s="63" t="str">
        <f t="shared" si="7"/>
        <v/>
      </c>
      <c r="K51" s="63" t="str">
        <f t="shared" si="8"/>
        <v/>
      </c>
      <c r="L51" s="68" t="str">
        <f t="shared" si="9"/>
        <v/>
      </c>
      <c r="M51" s="68" t="str">
        <f t="shared" si="10"/>
        <v/>
      </c>
      <c r="N51" s="69" t="str">
        <f t="shared" si="11"/>
        <v/>
      </c>
      <c r="O51" s="40"/>
    </row>
    <row r="52" spans="2:15" x14ac:dyDescent="0.25">
      <c r="B52" s="28"/>
      <c r="C52" s="41" t="str">
        <f t="shared" si="6"/>
        <v/>
      </c>
      <c r="D52" s="37"/>
      <c r="E52" s="37"/>
      <c r="F52" s="38"/>
      <c r="G52" s="38"/>
      <c r="H52" s="38"/>
      <c r="I52" s="38"/>
      <c r="J52" s="56" t="str">
        <f t="shared" si="7"/>
        <v/>
      </c>
      <c r="K52" s="56" t="str">
        <f t="shared" si="8"/>
        <v/>
      </c>
      <c r="L52" s="65" t="str">
        <f t="shared" si="9"/>
        <v/>
      </c>
      <c r="M52" s="65" t="str">
        <f t="shared" si="10"/>
        <v/>
      </c>
      <c r="N52" s="66" t="str">
        <f t="shared" si="11"/>
        <v/>
      </c>
      <c r="O52" s="40"/>
    </row>
    <row r="53" spans="2:15" x14ac:dyDescent="0.25">
      <c r="B53" s="28"/>
      <c r="C53" s="45" t="str">
        <f t="shared" si="6"/>
        <v/>
      </c>
      <c r="D53" s="37"/>
      <c r="E53" s="37"/>
      <c r="F53" s="38"/>
      <c r="G53" s="38"/>
      <c r="H53" s="38"/>
      <c r="I53" s="38"/>
      <c r="J53" s="63" t="str">
        <f t="shared" si="7"/>
        <v/>
      </c>
      <c r="K53" s="63" t="str">
        <f t="shared" si="8"/>
        <v/>
      </c>
      <c r="L53" s="68" t="str">
        <f t="shared" si="9"/>
        <v/>
      </c>
      <c r="M53" s="68" t="str">
        <f t="shared" si="10"/>
        <v/>
      </c>
      <c r="N53" s="69" t="str">
        <f t="shared" si="11"/>
        <v/>
      </c>
      <c r="O53" s="40"/>
    </row>
    <row r="54" spans="2:15" x14ac:dyDescent="0.25">
      <c r="B54" s="28"/>
      <c r="C54" s="41" t="str">
        <f t="shared" si="6"/>
        <v/>
      </c>
      <c r="D54" s="37"/>
      <c r="E54" s="37"/>
      <c r="F54" s="38"/>
      <c r="G54" s="38"/>
      <c r="H54" s="38"/>
      <c r="I54" s="38"/>
      <c r="J54" s="56" t="str">
        <f t="shared" si="7"/>
        <v/>
      </c>
      <c r="K54" s="56" t="str">
        <f t="shared" si="8"/>
        <v/>
      </c>
      <c r="L54" s="65" t="str">
        <f t="shared" si="9"/>
        <v/>
      </c>
      <c r="M54" s="65" t="str">
        <f t="shared" si="10"/>
        <v/>
      </c>
      <c r="N54" s="66" t="str">
        <f t="shared" si="11"/>
        <v/>
      </c>
      <c r="O54" s="40"/>
    </row>
    <row r="55" spans="2:15" x14ac:dyDescent="0.25">
      <c r="B55" s="28"/>
      <c r="C55" s="45" t="str">
        <f t="shared" si="6"/>
        <v/>
      </c>
      <c r="D55" s="37"/>
      <c r="E55" s="37"/>
      <c r="F55" s="38"/>
      <c r="G55" s="38"/>
      <c r="H55" s="38"/>
      <c r="I55" s="38"/>
      <c r="J55" s="63" t="str">
        <f t="shared" si="7"/>
        <v/>
      </c>
      <c r="K55" s="63" t="str">
        <f t="shared" si="8"/>
        <v/>
      </c>
      <c r="L55" s="68" t="str">
        <f t="shared" si="9"/>
        <v/>
      </c>
      <c r="M55" s="68" t="str">
        <f t="shared" si="10"/>
        <v/>
      </c>
      <c r="N55" s="69" t="str">
        <f t="shared" si="11"/>
        <v/>
      </c>
      <c r="O55" s="40"/>
    </row>
    <row r="56" spans="2:15" x14ac:dyDescent="0.25">
      <c r="B56" s="28"/>
      <c r="C56" s="41" t="str">
        <f t="shared" si="6"/>
        <v/>
      </c>
      <c r="D56" s="37"/>
      <c r="E56" s="37"/>
      <c r="F56" s="38"/>
      <c r="G56" s="38"/>
      <c r="H56" s="38"/>
      <c r="I56" s="38"/>
      <c r="J56" s="56" t="str">
        <f t="shared" si="7"/>
        <v/>
      </c>
      <c r="K56" s="56" t="str">
        <f t="shared" si="8"/>
        <v/>
      </c>
      <c r="L56" s="65" t="str">
        <f t="shared" si="9"/>
        <v/>
      </c>
      <c r="M56" s="65" t="str">
        <f t="shared" si="10"/>
        <v/>
      </c>
      <c r="N56" s="66" t="str">
        <f t="shared" si="11"/>
        <v/>
      </c>
      <c r="O56" s="40"/>
    </row>
    <row r="57" spans="2:15" x14ac:dyDescent="0.25">
      <c r="B57" s="28"/>
      <c r="C57" s="45" t="str">
        <f t="shared" si="6"/>
        <v/>
      </c>
      <c r="D57" s="37"/>
      <c r="E57" s="37"/>
      <c r="F57" s="38"/>
      <c r="G57" s="38"/>
      <c r="H57" s="38"/>
      <c r="I57" s="38"/>
      <c r="J57" s="63" t="str">
        <f t="shared" si="7"/>
        <v/>
      </c>
      <c r="K57" s="63" t="str">
        <f t="shared" si="8"/>
        <v/>
      </c>
      <c r="L57" s="68" t="str">
        <f t="shared" si="9"/>
        <v/>
      </c>
      <c r="M57" s="68" t="str">
        <f t="shared" si="10"/>
        <v/>
      </c>
      <c r="N57" s="69" t="str">
        <f t="shared" si="11"/>
        <v/>
      </c>
      <c r="O57" s="40"/>
    </row>
    <row r="58" spans="2:15" x14ac:dyDescent="0.25">
      <c r="B58" s="28"/>
      <c r="C58" s="41" t="str">
        <f t="shared" si="6"/>
        <v/>
      </c>
      <c r="D58" s="37"/>
      <c r="E58" s="37"/>
      <c r="F58" s="38"/>
      <c r="G58" s="38"/>
      <c r="H58" s="38"/>
      <c r="I58" s="38"/>
      <c r="J58" s="56" t="str">
        <f t="shared" si="7"/>
        <v/>
      </c>
      <c r="K58" s="56" t="str">
        <f t="shared" si="8"/>
        <v/>
      </c>
      <c r="L58" s="65" t="str">
        <f t="shared" si="9"/>
        <v/>
      </c>
      <c r="M58" s="65" t="str">
        <f t="shared" si="10"/>
        <v/>
      </c>
      <c r="N58" s="66" t="str">
        <f t="shared" si="11"/>
        <v/>
      </c>
      <c r="O58" s="40"/>
    </row>
    <row r="59" spans="2:15" x14ac:dyDescent="0.25">
      <c r="B59" s="28"/>
      <c r="C59" s="45" t="str">
        <f t="shared" si="6"/>
        <v/>
      </c>
      <c r="D59" s="37"/>
      <c r="E59" s="37"/>
      <c r="F59" s="38"/>
      <c r="G59" s="38"/>
      <c r="H59" s="38"/>
      <c r="I59" s="38"/>
      <c r="J59" s="63" t="str">
        <f t="shared" si="7"/>
        <v/>
      </c>
      <c r="K59" s="63" t="str">
        <f t="shared" si="8"/>
        <v/>
      </c>
      <c r="L59" s="68" t="str">
        <f t="shared" si="9"/>
        <v/>
      </c>
      <c r="M59" s="68" t="str">
        <f t="shared" si="10"/>
        <v/>
      </c>
      <c r="N59" s="69" t="str">
        <f t="shared" si="11"/>
        <v/>
      </c>
      <c r="O59" s="40"/>
    </row>
    <row r="60" spans="2:15" x14ac:dyDescent="0.25">
      <c r="B60" s="28"/>
      <c r="C60" s="41" t="str">
        <f t="shared" si="6"/>
        <v/>
      </c>
      <c r="D60" s="37"/>
      <c r="E60" s="37"/>
      <c r="F60" s="38"/>
      <c r="G60" s="38"/>
      <c r="H60" s="38"/>
      <c r="I60" s="38"/>
      <c r="J60" s="56" t="str">
        <f t="shared" si="7"/>
        <v/>
      </c>
      <c r="K60" s="56" t="str">
        <f t="shared" si="8"/>
        <v/>
      </c>
      <c r="L60" s="65" t="str">
        <f t="shared" si="9"/>
        <v/>
      </c>
      <c r="M60" s="65" t="str">
        <f t="shared" si="10"/>
        <v/>
      </c>
      <c r="N60" s="66" t="str">
        <f t="shared" si="11"/>
        <v/>
      </c>
      <c r="O60" s="40"/>
    </row>
    <row r="61" spans="2:15" x14ac:dyDescent="0.25">
      <c r="B61" s="28"/>
      <c r="C61" s="45" t="str">
        <f t="shared" si="6"/>
        <v/>
      </c>
      <c r="D61" s="37"/>
      <c r="E61" s="37"/>
      <c r="F61" s="38"/>
      <c r="G61" s="38"/>
      <c r="H61" s="38"/>
      <c r="I61" s="38"/>
      <c r="J61" s="63" t="str">
        <f t="shared" si="7"/>
        <v/>
      </c>
      <c r="K61" s="63" t="str">
        <f t="shared" si="8"/>
        <v/>
      </c>
      <c r="L61" s="68" t="str">
        <f t="shared" si="9"/>
        <v/>
      </c>
      <c r="M61" s="68" t="str">
        <f t="shared" si="10"/>
        <v/>
      </c>
      <c r="N61" s="69" t="str">
        <f t="shared" si="11"/>
        <v/>
      </c>
      <c r="O61" s="40"/>
    </row>
    <row r="62" spans="2:15" x14ac:dyDescent="0.25">
      <c r="B62" s="28"/>
      <c r="C62" s="41" t="str">
        <f t="shared" si="6"/>
        <v/>
      </c>
      <c r="D62" s="37"/>
      <c r="E62" s="37"/>
      <c r="F62" s="38"/>
      <c r="G62" s="38"/>
      <c r="H62" s="38"/>
      <c r="I62" s="38"/>
      <c r="J62" s="56" t="str">
        <f t="shared" si="7"/>
        <v/>
      </c>
      <c r="K62" s="56" t="str">
        <f t="shared" si="8"/>
        <v/>
      </c>
      <c r="L62" s="65" t="str">
        <f t="shared" si="9"/>
        <v/>
      </c>
      <c r="M62" s="65" t="str">
        <f t="shared" si="10"/>
        <v/>
      </c>
      <c r="N62" s="66" t="str">
        <f t="shared" si="11"/>
        <v/>
      </c>
      <c r="O62" s="40"/>
    </row>
    <row r="63" spans="2:15" x14ac:dyDescent="0.25">
      <c r="B63" s="28"/>
      <c r="C63" s="45" t="str">
        <f t="shared" si="6"/>
        <v/>
      </c>
      <c r="D63" s="37"/>
      <c r="E63" s="37"/>
      <c r="F63" s="38"/>
      <c r="G63" s="38"/>
      <c r="H63" s="38"/>
      <c r="I63" s="38"/>
      <c r="J63" s="63" t="str">
        <f t="shared" si="7"/>
        <v/>
      </c>
      <c r="K63" s="63" t="str">
        <f t="shared" si="8"/>
        <v/>
      </c>
      <c r="L63" s="68" t="str">
        <f t="shared" si="9"/>
        <v/>
      </c>
      <c r="M63" s="68" t="str">
        <f t="shared" si="10"/>
        <v/>
      </c>
      <c r="N63" s="69" t="str">
        <f t="shared" si="11"/>
        <v/>
      </c>
      <c r="O63" s="40"/>
    </row>
    <row r="64" spans="2:15" x14ac:dyDescent="0.25">
      <c r="B64" s="28"/>
      <c r="C64" s="41" t="str">
        <f t="shared" si="6"/>
        <v/>
      </c>
      <c r="D64" s="37"/>
      <c r="E64" s="37"/>
      <c r="F64" s="38"/>
      <c r="G64" s="38"/>
      <c r="H64" s="38"/>
      <c r="I64" s="38"/>
      <c r="J64" s="56" t="str">
        <f t="shared" si="7"/>
        <v/>
      </c>
      <c r="K64" s="56" t="str">
        <f t="shared" si="8"/>
        <v/>
      </c>
      <c r="L64" s="65" t="str">
        <f t="shared" si="9"/>
        <v/>
      </c>
      <c r="M64" s="65" t="str">
        <f t="shared" si="10"/>
        <v/>
      </c>
      <c r="N64" s="66" t="str">
        <f t="shared" si="11"/>
        <v/>
      </c>
      <c r="O64" s="40"/>
    </row>
    <row r="65" spans="1:15" x14ac:dyDescent="0.25">
      <c r="B65" s="28"/>
      <c r="C65" s="45" t="str">
        <f t="shared" si="6"/>
        <v/>
      </c>
      <c r="D65" s="37"/>
      <c r="E65" s="37"/>
      <c r="F65" s="38"/>
      <c r="G65" s="38"/>
      <c r="H65" s="38"/>
      <c r="I65" s="38"/>
      <c r="J65" s="63" t="str">
        <f t="shared" si="7"/>
        <v/>
      </c>
      <c r="K65" s="63" t="str">
        <f t="shared" si="8"/>
        <v/>
      </c>
      <c r="L65" s="68" t="str">
        <f t="shared" si="9"/>
        <v/>
      </c>
      <c r="M65" s="68" t="str">
        <f t="shared" si="10"/>
        <v/>
      </c>
      <c r="N65" s="69" t="str">
        <f t="shared" si="11"/>
        <v/>
      </c>
      <c r="O65" s="40"/>
    </row>
    <row r="66" spans="1:15" x14ac:dyDescent="0.25">
      <c r="B66" s="28"/>
      <c r="C66" s="41" t="str">
        <f t="shared" si="6"/>
        <v/>
      </c>
      <c r="D66" s="37"/>
      <c r="E66" s="37"/>
      <c r="F66" s="38"/>
      <c r="G66" s="38"/>
      <c r="H66" s="38"/>
      <c r="I66" s="38"/>
      <c r="J66" s="56" t="str">
        <f t="shared" si="7"/>
        <v/>
      </c>
      <c r="K66" s="56" t="str">
        <f t="shared" si="8"/>
        <v/>
      </c>
      <c r="L66" s="65" t="str">
        <f t="shared" si="9"/>
        <v/>
      </c>
      <c r="M66" s="65" t="str">
        <f t="shared" si="10"/>
        <v/>
      </c>
      <c r="N66" s="66" t="str">
        <f t="shared" si="11"/>
        <v/>
      </c>
      <c r="O66" s="40"/>
    </row>
    <row r="67" spans="1:15" x14ac:dyDescent="0.25">
      <c r="B67" s="28"/>
      <c r="C67" s="45" t="str">
        <f t="shared" si="6"/>
        <v/>
      </c>
      <c r="D67" s="37"/>
      <c r="E67" s="37"/>
      <c r="F67" s="38"/>
      <c r="G67" s="38"/>
      <c r="H67" s="38"/>
      <c r="I67" s="38"/>
      <c r="J67" s="63" t="str">
        <f t="shared" si="7"/>
        <v/>
      </c>
      <c r="K67" s="63" t="str">
        <f t="shared" si="8"/>
        <v/>
      </c>
      <c r="L67" s="68" t="str">
        <f t="shared" si="9"/>
        <v/>
      </c>
      <c r="M67" s="68" t="str">
        <f t="shared" si="10"/>
        <v/>
      </c>
      <c r="N67" s="69" t="str">
        <f t="shared" si="11"/>
        <v/>
      </c>
      <c r="O67" s="40"/>
    </row>
    <row r="68" spans="1:15" ht="29.1" customHeight="1" x14ac:dyDescent="0.25">
      <c r="A68" s="197" t="s">
        <v>327</v>
      </c>
      <c r="B68" s="173"/>
      <c r="C68" s="173"/>
      <c r="D68" s="173"/>
      <c r="E68" s="173"/>
      <c r="F68" s="173"/>
      <c r="G68" s="173"/>
      <c r="H68" s="173"/>
      <c r="I68" s="173"/>
      <c r="J68" s="173"/>
      <c r="K68" s="173"/>
      <c r="L68" s="173"/>
      <c r="M68" s="173"/>
      <c r="N68" s="173"/>
      <c r="O68" s="173"/>
    </row>
    <row r="69" spans="1:15" x14ac:dyDescent="0.25">
      <c r="A69" s="190" t="s">
        <v>112</v>
      </c>
      <c r="B69" s="191"/>
      <c r="C69" s="30">
        <f>SUMPRODUCT(--('11. Reconciliation'!$B$8:$B$67&lt;&gt;""))</f>
        <v>0</v>
      </c>
    </row>
    <row r="70" spans="1:15" x14ac:dyDescent="0.25">
      <c r="A70" s="190" t="s">
        <v>113</v>
      </c>
      <c r="B70" s="191"/>
      <c r="C70" s="30">
        <v>60</v>
      </c>
    </row>
    <row r="71" spans="1:15" x14ac:dyDescent="0.25">
      <c r="A71" s="190" t="s">
        <v>114</v>
      </c>
      <c r="B71" s="191"/>
      <c r="C71" s="30">
        <f>MAX(0,60-$C$69)</f>
        <v>60</v>
      </c>
    </row>
    <row r="72" spans="1:15" x14ac:dyDescent="0.25">
      <c r="A72" s="194" t="s">
        <v>115</v>
      </c>
      <c r="B72" s="191"/>
      <c r="C72" s="31" t="str">
        <f>IF($C$71&lt;=0,"FULL - no more rows can be entered",IF($C$71&lt;=6,"NEARLY FULL - contact Powell United","OK"))</f>
        <v>OK</v>
      </c>
      <c r="D72" s="193" t="s">
        <v>328</v>
      </c>
      <c r="E72" s="173"/>
      <c r="F72" s="173"/>
      <c r="G72" s="173"/>
      <c r="H72" s="173"/>
      <c r="I72" s="173"/>
      <c r="J72" s="173"/>
      <c r="K72" s="173"/>
      <c r="L72" s="173"/>
      <c r="M72" s="173"/>
      <c r="N72" s="173"/>
      <c r="O72" s="173"/>
    </row>
    <row r="73" spans="1:15" ht="8.1" customHeight="1" x14ac:dyDescent="0.25"/>
    <row r="74" spans="1:15" ht="8.1" customHeight="1" x14ac:dyDescent="0.25"/>
    <row r="75" spans="1:15" x14ac:dyDescent="0.25">
      <c r="H75" s="216" t="s">
        <v>329</v>
      </c>
      <c r="I75" s="191"/>
      <c r="J75" s="72">
        <f>COUNTIF($N$8:$N$67,"OUT OF BALANCE")</f>
        <v>0</v>
      </c>
    </row>
    <row r="76" spans="1:15" ht="8.1" customHeight="1" x14ac:dyDescent="0.25"/>
    <row r="77" spans="1:15" ht="15.6" customHeight="1" x14ac:dyDescent="0.25">
      <c r="A77" s="187" t="s">
        <v>69</v>
      </c>
      <c r="B77" s="173"/>
      <c r="C77" s="173"/>
      <c r="D77" s="173"/>
      <c r="E77" s="173"/>
      <c r="F77" s="173"/>
      <c r="G77" s="173"/>
      <c r="H77" s="173"/>
      <c r="I77" s="173"/>
      <c r="J77" s="173"/>
      <c r="K77" s="173"/>
      <c r="L77" s="173"/>
      <c r="M77" s="173"/>
      <c r="N77" s="173"/>
      <c r="O77" s="173"/>
    </row>
  </sheetData>
  <sheetProtection sheet="1" formatCells="0" formatColumns="0" formatRows="0" insertRows="0" deleteRows="0"/>
  <autoFilter ref="B7:O67" xr:uid="{00000000-0009-0000-0000-00000A000000}"/>
  <mergeCells count="14">
    <mergeCell ref="A77:O77"/>
    <mergeCell ref="A1:O1"/>
    <mergeCell ref="A5:O5"/>
    <mergeCell ref="H75:I75"/>
    <mergeCell ref="A6:O6"/>
    <mergeCell ref="A70:B70"/>
    <mergeCell ref="A4:O4"/>
    <mergeCell ref="A3:O3"/>
    <mergeCell ref="A69:B69"/>
    <mergeCell ref="A72:B72"/>
    <mergeCell ref="A2:O2"/>
    <mergeCell ref="D72:O72"/>
    <mergeCell ref="A71:B71"/>
    <mergeCell ref="A68:O68"/>
  </mergeCells>
  <conditionalFormatting sqref="C72">
    <cfRule type="cellIs" dxfId="19" priority="3" operator="equal">
      <formula>"FULL - no more rows can be entered"</formula>
    </cfRule>
    <cfRule type="cellIs" dxfId="18" priority="4" operator="equal">
      <formula>"NEARLY FULL - contact Powell United"</formula>
    </cfRule>
    <cfRule type="cellIs" dxfId="17" priority="5" operator="equal">
      <formula>"OK"</formula>
    </cfRule>
  </conditionalFormatting>
  <conditionalFormatting sqref="N8:N67">
    <cfRule type="cellIs" dxfId="16" priority="1" operator="equal">
      <formula>"Reconciled"</formula>
    </cfRule>
    <cfRule type="cellIs" dxfId="15" priority="2" operator="equal">
      <formula>"OUT OF BALANCE"</formula>
    </cfRule>
  </conditionalFormatting>
  <dataValidations count="3">
    <dataValidation type="list" allowBlank="1" sqref="B8:B67" xr:uid="{00000000-0002-0000-0A00-000000000000}">
      <formula1>Acct_Name</formula1>
    </dataValidation>
    <dataValidation type="decimal" operator="greaterThanOrEqual" allowBlank="1" showErrorMessage="1" errorTitle="Amount must be zero or positive" error="Enter a positive number. Money In and Money Out are separate columns, so amounts are never negative." sqref="F8:I67" xr:uid="{00000000-0002-0000-0A00-000001000000}">
      <formula1>-999999999</formula1>
    </dataValidation>
    <dataValidation type="date" allowBlank="1" showErrorMessage="1" errorTitle="Enter a real date" error="Use a date, for example 03/14/2026." sqref="D8:E67" xr:uid="{00000000-0002-0000-0A00-000005000000}">
      <formula1>DATE(2000,1,1)</formula1>
      <formula2>DATE(2100,12,31)</formula2>
    </dataValidation>
  </dataValidation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1:J49"/>
  <sheetViews>
    <sheetView showGridLines="0" workbookViewId="0">
      <pane ySplit="4" topLeftCell="A5" activePane="bottomLeft" state="frozen"/>
      <selection pane="bottomLeft"/>
    </sheetView>
  </sheetViews>
  <sheetFormatPr defaultRowHeight="15" x14ac:dyDescent="0.25"/>
  <cols>
    <col min="1" max="1" width="3" customWidth="1"/>
    <col min="2" max="2" width="52" customWidth="1"/>
    <col min="3" max="3" width="17" customWidth="1"/>
    <col min="4" max="4" width="4" customWidth="1"/>
    <col min="5" max="5" width="40" customWidth="1"/>
    <col min="6" max="6" width="15" customWidth="1"/>
    <col min="7" max="7" width="4" customWidth="1"/>
    <col min="8" max="8" width="38" customWidth="1"/>
    <col min="9" max="9" width="15" customWidth="1"/>
    <col min="10" max="10" width="3" customWidth="1"/>
  </cols>
  <sheetData>
    <row r="1" spans="1:10" ht="27.95" customHeight="1" x14ac:dyDescent="0.25">
      <c r="A1" s="174" t="s">
        <v>330</v>
      </c>
      <c r="B1" s="173"/>
      <c r="C1" s="173"/>
      <c r="D1" s="173"/>
      <c r="E1" s="173"/>
      <c r="F1" s="173"/>
      <c r="G1" s="173"/>
      <c r="H1" s="173"/>
      <c r="I1" s="173"/>
      <c r="J1" s="173"/>
    </row>
    <row r="2" spans="1:10" ht="17.100000000000001" customHeight="1" x14ac:dyDescent="0.25">
      <c r="A2" s="188" t="s">
        <v>331</v>
      </c>
      <c r="B2" s="173"/>
      <c r="C2" s="173"/>
      <c r="D2" s="173"/>
      <c r="E2" s="173"/>
      <c r="F2" s="173"/>
      <c r="G2" s="173"/>
      <c r="H2" s="173"/>
      <c r="I2" s="173"/>
      <c r="J2" s="173"/>
    </row>
    <row r="3" spans="1:10" ht="14.1" customHeight="1" x14ac:dyDescent="0.25">
      <c r="A3" s="179" t="s">
        <v>2</v>
      </c>
      <c r="B3" s="173"/>
      <c r="C3" s="173"/>
      <c r="D3" s="173"/>
      <c r="E3" s="173"/>
      <c r="F3" s="173"/>
      <c r="G3" s="173"/>
      <c r="H3" s="173"/>
      <c r="I3" s="173"/>
      <c r="J3" s="173"/>
    </row>
    <row r="4" spans="1:10" ht="16.5" x14ac:dyDescent="0.25">
      <c r="B4" s="86" t="str">
        <f>CONCATENATE('2. Setup'!$C$6," - tax year ",TEXT('2. Setup'!$C$10,"0"))</f>
        <v>Your Healthcare Business, PLLC - tax year 2026</v>
      </c>
    </row>
    <row r="5" spans="1:10" ht="8.1" customHeight="1" x14ac:dyDescent="0.25"/>
    <row r="6" spans="1:10" x14ac:dyDescent="0.25">
      <c r="B6" s="225" t="s">
        <v>332</v>
      </c>
      <c r="C6" s="191"/>
      <c r="E6" s="226" t="s">
        <v>333</v>
      </c>
      <c r="F6" s="191"/>
      <c r="H6" s="226" t="s">
        <v>334</v>
      </c>
      <c r="I6" s="191"/>
    </row>
    <row r="7" spans="1:10" x14ac:dyDescent="0.25">
      <c r="B7" s="87" t="s">
        <v>335</v>
      </c>
      <c r="C7" s="88">
        <f>ROUND(SUMIFS(Txn_Rev,Txn_Date,"&gt;="&amp;Yr_Start,Txn_Date,"&lt;="&amp;Yr_End),2)</f>
        <v>0</v>
      </c>
      <c r="E7" s="89" t="s">
        <v>336</v>
      </c>
      <c r="F7" s="90">
        <f>ROUND(SUMIFS(Txn_In,Txn_Treat,"Non-Operating Income"),2)</f>
        <v>0</v>
      </c>
      <c r="H7" s="89" t="s">
        <v>337</v>
      </c>
      <c r="I7" s="30">
        <f>COUNTA(Txn_ID)-COUNTBLANK(Txn_ID)</f>
        <v>0</v>
      </c>
    </row>
    <row r="8" spans="1:10" x14ac:dyDescent="0.25">
      <c r="B8" s="87" t="s">
        <v>338</v>
      </c>
      <c r="C8" s="88">
        <f>ROUND('7. Settlements'!$N$115,2)</f>
        <v>0</v>
      </c>
      <c r="E8" s="89" t="s">
        <v>339</v>
      </c>
      <c r="F8" s="90">
        <f>ROUND(SUMIFS(Txn_In,Txn_Treat,"Transfer")+SUMIFS(Txn_Out,Txn_Treat,"Transfer"),2)</f>
        <v>0</v>
      </c>
      <c r="H8" s="91" t="s">
        <v>340</v>
      </c>
      <c r="I8" s="92"/>
    </row>
    <row r="9" spans="1:10" ht="15.75" x14ac:dyDescent="0.25">
      <c r="B9" s="93" t="s">
        <v>341</v>
      </c>
      <c r="C9" s="94">
        <f>ROUND($C$7+$C$8,2)</f>
        <v>0</v>
      </c>
      <c r="E9" s="89" t="s">
        <v>342</v>
      </c>
      <c r="F9" s="90">
        <f>ROUND(SUMIFS(Txn_In,Txn_Treat,"Owner Draw/Contribution")+SUMIFS(Txn_Out,Txn_Treat,"Owner Draw/Contribution"),2)</f>
        <v>0</v>
      </c>
      <c r="H9" s="89" t="s">
        <v>343</v>
      </c>
      <c r="I9" s="30">
        <f>COUNTIF(Txn_Treat,"Uncategorized")</f>
        <v>0</v>
      </c>
    </row>
    <row r="10" spans="1:10" x14ac:dyDescent="0.25">
      <c r="B10" s="87" t="s">
        <v>344</v>
      </c>
      <c r="C10" s="88">
        <f>ROUND(SUMIFS(Txn_Ded,Txn_Date,"&gt;="&amp;Yr_Start,Txn_Date,"&lt;="&amp;Yr_End),2)</f>
        <v>0</v>
      </c>
      <c r="E10" s="89" t="s">
        <v>345</v>
      </c>
      <c r="F10" s="90">
        <f>ROUND(SUMIFS(Txn_Out,Txn_Treat,"Owner-Level Tax Item"),2)</f>
        <v>0</v>
      </c>
      <c r="H10" s="89" t="s">
        <v>346</v>
      </c>
      <c r="I10" s="30">
        <f>SUMPRODUCT(--(Txn_Desc&lt;&gt;""),--(Txn_Acct=""))</f>
        <v>0</v>
      </c>
    </row>
    <row r="11" spans="1:10" x14ac:dyDescent="0.25">
      <c r="B11" s="87" t="s">
        <v>347</v>
      </c>
      <c r="C11" s="88">
        <f>ROUND('7. Settlements'!$O$115,2)</f>
        <v>0</v>
      </c>
      <c r="E11" s="89" t="s">
        <v>348</v>
      </c>
      <c r="F11" s="90">
        <f>ROUND(SUMIFS(Txn_In,Txn_Treat,"Balance Sheet / Clearing")+SUMIFS(Txn_Out,Txn_Treat,"Balance Sheet / Clearing"),2)</f>
        <v>0</v>
      </c>
      <c r="H11" s="89" t="s">
        <v>349</v>
      </c>
      <c r="I11" s="30">
        <f>SUMPRODUCT(--(Txn_Desc&lt;&gt;""),--(Txn_Date=""))</f>
        <v>0</v>
      </c>
    </row>
    <row r="12" spans="1:10" x14ac:dyDescent="0.25">
      <c r="B12" s="87" t="s">
        <v>350</v>
      </c>
      <c r="C12" s="88">
        <f>ROUND('9. Payroll Allocation'!$G$260,2)</f>
        <v>0</v>
      </c>
      <c r="E12" s="89" t="s">
        <v>351</v>
      </c>
      <c r="F12" s="90">
        <f>ROUND(SUMIFS(Txn_Out,Txn_Treat,"Review Required"),2)</f>
        <v>0</v>
      </c>
      <c r="H12" s="89" t="s">
        <v>352</v>
      </c>
      <c r="I12" s="30">
        <f>SUMPRODUCT(--(Txn_Link&lt;&gt;""),--(Txn_Treat&lt;&gt;"Balance Sheet / Clearing"),--(Txn_Desc&lt;&gt;""))</f>
        <v>0</v>
      </c>
    </row>
    <row r="13" spans="1:10" ht="15.75" x14ac:dyDescent="0.25">
      <c r="B13" s="93" t="s">
        <v>353</v>
      </c>
      <c r="C13" s="94">
        <f>ROUND($C$10+$C$11+$C$12,2)</f>
        <v>0</v>
      </c>
      <c r="E13" s="89" t="s">
        <v>354</v>
      </c>
      <c r="F13" s="90">
        <f>ROUND(SUMIFS(Txn_In,Txn_Treat,"Uncategorized")+SUMIFS(Txn_Out,Txn_Treat,"Uncategorized"),2)</f>
        <v>0</v>
      </c>
      <c r="H13" s="89" t="s">
        <v>355</v>
      </c>
      <c r="I13" s="30">
        <f>SUMPRODUCT(--('9. Payroll Allocation'!$D$8:$D$207&lt;&gt;""),--('9. Payroll Allocation'!$C$8:$C$207=""))</f>
        <v>0</v>
      </c>
    </row>
    <row r="14" spans="1:10" ht="15.75" x14ac:dyDescent="0.25">
      <c r="B14" s="93" t="s">
        <v>356</v>
      </c>
      <c r="C14" s="94">
        <f>ROUND($C$9-$C$13,2)</f>
        <v>0</v>
      </c>
      <c r="E14" s="89" t="s">
        <v>357</v>
      </c>
      <c r="F14" s="90">
        <f>ROUND(N('10. Mileage Log'!$H$315),2)</f>
        <v>0</v>
      </c>
      <c r="H14" s="89" t="s">
        <v>358</v>
      </c>
      <c r="I14" s="30">
        <f>COUNTIF('9. Payroll Allocation'!$F$8:$F$207,"UNKNOWN")</f>
        <v>0</v>
      </c>
    </row>
    <row r="15" spans="1:10" ht="24" customHeight="1" x14ac:dyDescent="0.25">
      <c r="B15" s="87" t="s">
        <v>359</v>
      </c>
      <c r="C15" s="95" t="str">
        <f>IF(N($C$9)=0,"-",$C$14/$C$9)</f>
        <v>-</v>
      </c>
      <c r="E15" s="227" t="s">
        <v>360</v>
      </c>
      <c r="F15" s="173"/>
      <c r="H15" s="89" t="s">
        <v>361</v>
      </c>
      <c r="I15" s="30">
        <f>COUNTIFS(Txn_Date,"&lt;"&amp;Yr_Start)+COUNTIFS(Txn_Date,"&gt;"&amp;Yr_End)</f>
        <v>0</v>
      </c>
    </row>
    <row r="16" spans="1:10" x14ac:dyDescent="0.25">
      <c r="H16" s="89" t="s">
        <v>362</v>
      </c>
      <c r="I16" s="30" t="str">
        <f>IF(COUNTA('11. Reconciliation'!$B$8:$B$67)=0,"NOT STARTED",COUNTIF('11. Reconciliation'!$N$8:$N$67,"OUT OF BALANCE"))</f>
        <v>NOT STARTED</v>
      </c>
    </row>
    <row r="17" spans="8:9" x14ac:dyDescent="0.25">
      <c r="H17" s="89" t="s">
        <v>363</v>
      </c>
      <c r="I17" s="30" t="str">
        <f>IF(SUMPRODUCT(--('7. Settlements'!$B$8:$B$107&lt;&gt;""))=0,"NOT STARTED",SUMPRODUCT(--('7. Settlements'!$B$8:$B$107&lt;&gt;""),--('7. Settlements'!$M$8:$M$107&lt;&gt;"Tied out")))</f>
        <v>NOT STARTED</v>
      </c>
    </row>
    <row r="18" spans="8:9" x14ac:dyDescent="0.25">
      <c r="H18" s="89" t="s">
        <v>364</v>
      </c>
      <c r="I18" s="30" t="str">
        <f>IF(SUMPRODUCT(--('9. Payroll Allocation'!$B$234:$B$253&lt;&gt;""))=0,"NOT STARTED",COUNTIFS('9. Payroll Allocation'!$B$234:$B$253,"&lt;&gt;",'9. Payroll Allocation'!$H$234:$H$253,"&lt;&gt;Tied out"))</f>
        <v>NOT STARTED</v>
      </c>
    </row>
    <row r="19" spans="8:9" x14ac:dyDescent="0.25">
      <c r="H19" s="89" t="s">
        <v>365</v>
      </c>
      <c r="I19" s="30" t="str">
        <f>IF(SUMPRODUCT(--('8. Transfers'!$B$9:$B$108&lt;&gt;""))=0,"NOT STARTED",COUNTIF('8. Transfers'!$J$9:$J$108,"UNMATCHED - review"))</f>
        <v>NOT STARTED</v>
      </c>
    </row>
    <row r="20" spans="8:9" x14ac:dyDescent="0.25">
      <c r="H20" s="89" t="s">
        <v>366</v>
      </c>
      <c r="I20" s="30" t="str">
        <f>IF(COUNTA('5. AI Import Staging'!$E$10:$E$499)=0,"NOT STARTED",COUNTIF('5. AI Import Staging'!$M$10:$M$499,"NO"))</f>
        <v>NOT STARTED</v>
      </c>
    </row>
    <row r="21" spans="8:9" x14ac:dyDescent="0.25">
      <c r="H21" s="89" t="s">
        <v>367</v>
      </c>
      <c r="I21" s="30">
        <f>COUNTIF('6. Transactions'!$L$6:$L$1005,"&lt;0")+COUNTIF('6. Transactions'!$L$6:$L$1005,"&gt;1")</f>
        <v>0</v>
      </c>
    </row>
    <row r="22" spans="8:9" x14ac:dyDescent="0.25">
      <c r="H22" s="89" t="s">
        <v>368</v>
      </c>
      <c r="I22" s="96">
        <f>ROUND(ABS($C$9-INDEX($C$35:$C$47,MATCH("FULL YEAR",$B$35:$B$47,0)))+ABS($C$13-INDEX($E$35:$E$47,MATCH("FULL YEAR",$B$35:$B$47,0))),2)</f>
        <v>0</v>
      </c>
    </row>
    <row r="23" spans="8:9" x14ac:dyDescent="0.25">
      <c r="H23" s="89" t="s">
        <v>369</v>
      </c>
      <c r="I23" s="30">
        <f>COUNTIF('6. Transactions'!$Q$6:$Q$1005,"MISSING DETAIL")</f>
        <v>0</v>
      </c>
    </row>
    <row r="24" spans="8:9" x14ac:dyDescent="0.25">
      <c r="H24" s="89" t="s">
        <v>370</v>
      </c>
      <c r="I24" s="30" t="str">
        <f>IF(OR('2. Setup'!$C$9="",'2. Setup'!$C$9="Not sure - ask my accountant"),"TAX CLASSIFICATION NOT SET",IF('2. Setup'!$C$9&lt;&gt;"S-Corporation","N/A - not an S corporation",IF(SUMPRODUCT(--('9. Payroll Allocation'!$B$234:$B$253&lt;&gt;""))=0,"NOT STARTED",IF(Pay_Owner_Wages=0,1,0))))</f>
        <v>TAX CLASSIFICATION NOT SET</v>
      </c>
    </row>
    <row r="25" spans="8:9" x14ac:dyDescent="0.25">
      <c r="H25" s="89" t="s">
        <v>371</v>
      </c>
      <c r="I25" s="96" t="str">
        <f>IF(SUMPRODUCT(--(Txn_Desc&lt;&gt;""))=0,"NOT STARTED",ROUND(SUMPRODUCT(ABS(PL_Diff)),2))</f>
        <v>NOT STARTED</v>
      </c>
    </row>
    <row r="26" spans="8:9" ht="56.1" customHeight="1" x14ac:dyDescent="0.25">
      <c r="H26" s="218" t="s">
        <v>372</v>
      </c>
      <c r="I26" s="173"/>
    </row>
    <row r="27" spans="8:9" ht="8.1" customHeight="1" x14ac:dyDescent="0.25"/>
    <row r="28" spans="8:9" x14ac:dyDescent="0.25">
      <c r="H28" s="97" t="s">
        <v>373</v>
      </c>
      <c r="I28" s="98"/>
    </row>
    <row r="29" spans="8:9" x14ac:dyDescent="0.25">
      <c r="H29" s="89" t="s">
        <v>374</v>
      </c>
      <c r="I29" s="99">
        <f>COUNTIF(Txn_Treat,"Review Required")</f>
        <v>0</v>
      </c>
    </row>
    <row r="30" spans="8:9" x14ac:dyDescent="0.25">
      <c r="H30" s="89" t="s">
        <v>375</v>
      </c>
      <c r="I30" s="99">
        <f>COUNTIF('5. AI Import Staging'!$M$10:$M$499,"Yes")</f>
        <v>0</v>
      </c>
    </row>
    <row r="31" spans="8:9" ht="69.599999999999994" customHeight="1" x14ac:dyDescent="0.25">
      <c r="H31" s="223" t="s">
        <v>376</v>
      </c>
      <c r="I31" s="173"/>
    </row>
    <row r="32" spans="8:9" ht="8.1" customHeight="1" x14ac:dyDescent="0.25"/>
    <row r="33" spans="1:10" ht="20.100000000000001" customHeight="1" x14ac:dyDescent="0.25">
      <c r="A33" s="178" t="s">
        <v>377</v>
      </c>
      <c r="B33" s="173"/>
      <c r="C33" s="173"/>
      <c r="D33" s="173"/>
      <c r="E33" s="173"/>
      <c r="F33" s="173"/>
      <c r="G33" s="173"/>
      <c r="H33" s="173"/>
      <c r="I33" s="173"/>
      <c r="J33" s="173"/>
    </row>
    <row r="34" spans="1:10" ht="21.95" customHeight="1" x14ac:dyDescent="0.25">
      <c r="B34" s="97" t="s">
        <v>378</v>
      </c>
      <c r="C34" s="97" t="s">
        <v>379</v>
      </c>
      <c r="E34" s="97" t="s">
        <v>380</v>
      </c>
      <c r="F34" s="97" t="s">
        <v>381</v>
      </c>
    </row>
    <row r="35" spans="1:10" x14ac:dyDescent="0.25">
      <c r="B35" s="100">
        <f>DATE('2. Setup'!$C$10,1,1)</f>
        <v>46023</v>
      </c>
      <c r="C35" s="101">
        <f>ROUND(SUMIFS(Txn_Rev,Txn_Date,"&gt;="&amp;$B35,Txn_Date,"&lt;="&amp;EOMONTH($B35,0))+SUMIFS('7. Settlements'!$N$8:$N$107,'7. Settlements'!$C$8:$C$107,"&gt;="&amp;$B35,'7. Settlements'!$C$8:$C$107,"&lt;="&amp;EOMONTH($B35,0)),2)</f>
        <v>0</v>
      </c>
      <c r="E35" s="101">
        <f>ROUND(SUMIFS(Txn_Ded,Txn_Date,"&gt;="&amp;$B35,Txn_Date,"&lt;="&amp;EOMONTH($B35,0))+SUMIFS('7. Settlements'!$O$8:$O$107,'7. Settlements'!$C$8:$C$107,"&gt;="&amp;$B35,'7. Settlements'!$C$8:$C$107,"&lt;="&amp;EOMONTH($B35,0))+SUMIFS('9. Payroll Allocation'!$G$234:$G$253,'9. Payroll Allocation'!$C$234:$C$253,"&gt;="&amp;$B35,'9. Payroll Allocation'!$C$234:$C$253,"&lt;="&amp;EOMONTH($B35,0)),2)</f>
        <v>0</v>
      </c>
      <c r="F35" s="102">
        <f t="shared" ref="F35:F46" si="0">ROUND($C35-$E35,2)</f>
        <v>0</v>
      </c>
      <c r="H35" s="224" t="s">
        <v>382</v>
      </c>
      <c r="I35" s="173"/>
    </row>
    <row r="36" spans="1:10" x14ac:dyDescent="0.25">
      <c r="B36" s="103">
        <f>DATE('2. Setup'!$C$10,2,1)</f>
        <v>46054</v>
      </c>
      <c r="C36" s="104">
        <f>ROUND(SUMIFS(Txn_Rev,Txn_Date,"&gt;="&amp;$B36,Txn_Date,"&lt;="&amp;EOMONTH($B36,0))+SUMIFS('7. Settlements'!$N$8:$N$107,'7. Settlements'!$C$8:$C$107,"&gt;="&amp;$B36,'7. Settlements'!$C$8:$C$107,"&lt;="&amp;EOMONTH($B36,0)),2)</f>
        <v>0</v>
      </c>
      <c r="E36" s="104">
        <f>ROUND(SUMIFS(Txn_Ded,Txn_Date,"&gt;="&amp;$B36,Txn_Date,"&lt;="&amp;EOMONTH($B36,0))+SUMIFS('7. Settlements'!$O$8:$O$107,'7. Settlements'!$C$8:$C$107,"&gt;="&amp;$B36,'7. Settlements'!$C$8:$C$107,"&lt;="&amp;EOMONTH($B36,0))+SUMIFS('9. Payroll Allocation'!$G$234:$G$253,'9. Payroll Allocation'!$C$234:$C$253,"&gt;="&amp;$B36,'9. Payroll Allocation'!$C$234:$C$253,"&lt;="&amp;EOMONTH($B36,0)),2)</f>
        <v>0</v>
      </c>
      <c r="F36" s="105">
        <f t="shared" si="0"/>
        <v>0</v>
      </c>
      <c r="H36" s="173"/>
      <c r="I36" s="173"/>
    </row>
    <row r="37" spans="1:10" x14ac:dyDescent="0.25">
      <c r="B37" s="100">
        <f>DATE('2. Setup'!$C$10,3,1)</f>
        <v>46082</v>
      </c>
      <c r="C37" s="101">
        <f>ROUND(SUMIFS(Txn_Rev,Txn_Date,"&gt;="&amp;$B37,Txn_Date,"&lt;="&amp;EOMONTH($B37,0))+SUMIFS('7. Settlements'!$N$8:$N$107,'7. Settlements'!$C$8:$C$107,"&gt;="&amp;$B37,'7. Settlements'!$C$8:$C$107,"&lt;="&amp;EOMONTH($B37,0)),2)</f>
        <v>0</v>
      </c>
      <c r="E37" s="101">
        <f>ROUND(SUMIFS(Txn_Ded,Txn_Date,"&gt;="&amp;$B37,Txn_Date,"&lt;="&amp;EOMONTH($B37,0))+SUMIFS('7. Settlements'!$O$8:$O$107,'7. Settlements'!$C$8:$C$107,"&gt;="&amp;$B37,'7. Settlements'!$C$8:$C$107,"&lt;="&amp;EOMONTH($B37,0))+SUMIFS('9. Payroll Allocation'!$G$234:$G$253,'9. Payroll Allocation'!$C$234:$C$253,"&gt;="&amp;$B37,'9. Payroll Allocation'!$C$234:$C$253,"&lt;="&amp;EOMONTH($B37,0)),2)</f>
        <v>0</v>
      </c>
      <c r="F37" s="102">
        <f t="shared" si="0"/>
        <v>0</v>
      </c>
      <c r="H37" s="173"/>
      <c r="I37" s="173"/>
    </row>
    <row r="38" spans="1:10" x14ac:dyDescent="0.25">
      <c r="B38" s="103">
        <f>DATE('2. Setup'!$C$10,4,1)</f>
        <v>46113</v>
      </c>
      <c r="C38" s="104">
        <f>ROUND(SUMIFS(Txn_Rev,Txn_Date,"&gt;="&amp;$B38,Txn_Date,"&lt;="&amp;EOMONTH($B38,0))+SUMIFS('7. Settlements'!$N$8:$N$107,'7. Settlements'!$C$8:$C$107,"&gt;="&amp;$B38,'7. Settlements'!$C$8:$C$107,"&lt;="&amp;EOMONTH($B38,0)),2)</f>
        <v>0</v>
      </c>
      <c r="E38" s="104">
        <f>ROUND(SUMIFS(Txn_Ded,Txn_Date,"&gt;="&amp;$B38,Txn_Date,"&lt;="&amp;EOMONTH($B38,0))+SUMIFS('7. Settlements'!$O$8:$O$107,'7. Settlements'!$C$8:$C$107,"&gt;="&amp;$B38,'7. Settlements'!$C$8:$C$107,"&lt;="&amp;EOMONTH($B38,0))+SUMIFS('9. Payroll Allocation'!$G$234:$G$253,'9. Payroll Allocation'!$C$234:$C$253,"&gt;="&amp;$B38,'9. Payroll Allocation'!$C$234:$C$253,"&lt;="&amp;EOMONTH($B38,0)),2)</f>
        <v>0</v>
      </c>
      <c r="F38" s="105">
        <f t="shared" si="0"/>
        <v>0</v>
      </c>
      <c r="H38" s="173"/>
      <c r="I38" s="173"/>
    </row>
    <row r="39" spans="1:10" x14ac:dyDescent="0.25">
      <c r="B39" s="100">
        <f>DATE('2. Setup'!$C$10,5,1)</f>
        <v>46143</v>
      </c>
      <c r="C39" s="101">
        <f>ROUND(SUMIFS(Txn_Rev,Txn_Date,"&gt;="&amp;$B39,Txn_Date,"&lt;="&amp;EOMONTH($B39,0))+SUMIFS('7. Settlements'!$N$8:$N$107,'7. Settlements'!$C$8:$C$107,"&gt;="&amp;$B39,'7. Settlements'!$C$8:$C$107,"&lt;="&amp;EOMONTH($B39,0)),2)</f>
        <v>0</v>
      </c>
      <c r="E39" s="101">
        <f>ROUND(SUMIFS(Txn_Ded,Txn_Date,"&gt;="&amp;$B39,Txn_Date,"&lt;="&amp;EOMONTH($B39,0))+SUMIFS('7. Settlements'!$O$8:$O$107,'7. Settlements'!$C$8:$C$107,"&gt;="&amp;$B39,'7. Settlements'!$C$8:$C$107,"&lt;="&amp;EOMONTH($B39,0))+SUMIFS('9. Payroll Allocation'!$G$234:$G$253,'9. Payroll Allocation'!$C$234:$C$253,"&gt;="&amp;$B39,'9. Payroll Allocation'!$C$234:$C$253,"&lt;="&amp;EOMONTH($B39,0)),2)</f>
        <v>0</v>
      </c>
      <c r="F39" s="102">
        <f t="shared" si="0"/>
        <v>0</v>
      </c>
    </row>
    <row r="40" spans="1:10" x14ac:dyDescent="0.25">
      <c r="B40" s="103">
        <f>DATE('2. Setup'!$C$10,6,1)</f>
        <v>46174</v>
      </c>
      <c r="C40" s="104">
        <f>ROUND(SUMIFS(Txn_Rev,Txn_Date,"&gt;="&amp;$B40,Txn_Date,"&lt;="&amp;EOMONTH($B40,0))+SUMIFS('7. Settlements'!$N$8:$N$107,'7. Settlements'!$C$8:$C$107,"&gt;="&amp;$B40,'7. Settlements'!$C$8:$C$107,"&lt;="&amp;EOMONTH($B40,0)),2)</f>
        <v>0</v>
      </c>
      <c r="E40" s="104">
        <f>ROUND(SUMIFS(Txn_Ded,Txn_Date,"&gt;="&amp;$B40,Txn_Date,"&lt;="&amp;EOMONTH($B40,0))+SUMIFS('7. Settlements'!$O$8:$O$107,'7. Settlements'!$C$8:$C$107,"&gt;="&amp;$B40,'7. Settlements'!$C$8:$C$107,"&lt;="&amp;EOMONTH($B40,0))+SUMIFS('9. Payroll Allocation'!$G$234:$G$253,'9. Payroll Allocation'!$C$234:$C$253,"&gt;="&amp;$B40,'9. Payroll Allocation'!$C$234:$C$253,"&lt;="&amp;EOMONTH($B40,0)),2)</f>
        <v>0</v>
      </c>
      <c r="F40" s="105">
        <f t="shared" si="0"/>
        <v>0</v>
      </c>
    </row>
    <row r="41" spans="1:10" x14ac:dyDescent="0.25">
      <c r="B41" s="100">
        <f>DATE('2. Setup'!$C$10,7,1)</f>
        <v>46204</v>
      </c>
      <c r="C41" s="101">
        <f>ROUND(SUMIFS(Txn_Rev,Txn_Date,"&gt;="&amp;$B41,Txn_Date,"&lt;="&amp;EOMONTH($B41,0))+SUMIFS('7. Settlements'!$N$8:$N$107,'7. Settlements'!$C$8:$C$107,"&gt;="&amp;$B41,'7. Settlements'!$C$8:$C$107,"&lt;="&amp;EOMONTH($B41,0)),2)</f>
        <v>0</v>
      </c>
      <c r="E41" s="101">
        <f>ROUND(SUMIFS(Txn_Ded,Txn_Date,"&gt;="&amp;$B41,Txn_Date,"&lt;="&amp;EOMONTH($B41,0))+SUMIFS('7. Settlements'!$O$8:$O$107,'7. Settlements'!$C$8:$C$107,"&gt;="&amp;$B41,'7. Settlements'!$C$8:$C$107,"&lt;="&amp;EOMONTH($B41,0))+SUMIFS('9. Payroll Allocation'!$G$234:$G$253,'9. Payroll Allocation'!$C$234:$C$253,"&gt;="&amp;$B41,'9. Payroll Allocation'!$C$234:$C$253,"&lt;="&amp;EOMONTH($B41,0)),2)</f>
        <v>0</v>
      </c>
      <c r="F41" s="102">
        <f t="shared" si="0"/>
        <v>0</v>
      </c>
    </row>
    <row r="42" spans="1:10" x14ac:dyDescent="0.25">
      <c r="B42" s="103">
        <f>DATE('2. Setup'!$C$10,8,1)</f>
        <v>46235</v>
      </c>
      <c r="C42" s="104">
        <f>ROUND(SUMIFS(Txn_Rev,Txn_Date,"&gt;="&amp;$B42,Txn_Date,"&lt;="&amp;EOMONTH($B42,0))+SUMIFS('7. Settlements'!$N$8:$N$107,'7. Settlements'!$C$8:$C$107,"&gt;="&amp;$B42,'7. Settlements'!$C$8:$C$107,"&lt;="&amp;EOMONTH($B42,0)),2)</f>
        <v>0</v>
      </c>
      <c r="E42" s="104">
        <f>ROUND(SUMIFS(Txn_Ded,Txn_Date,"&gt;="&amp;$B42,Txn_Date,"&lt;="&amp;EOMONTH($B42,0))+SUMIFS('7. Settlements'!$O$8:$O$107,'7. Settlements'!$C$8:$C$107,"&gt;="&amp;$B42,'7. Settlements'!$C$8:$C$107,"&lt;="&amp;EOMONTH($B42,0))+SUMIFS('9. Payroll Allocation'!$G$234:$G$253,'9. Payroll Allocation'!$C$234:$C$253,"&gt;="&amp;$B42,'9. Payroll Allocation'!$C$234:$C$253,"&lt;="&amp;EOMONTH($B42,0)),2)</f>
        <v>0</v>
      </c>
      <c r="F42" s="105">
        <f t="shared" si="0"/>
        <v>0</v>
      </c>
    </row>
    <row r="43" spans="1:10" x14ac:dyDescent="0.25">
      <c r="B43" s="100">
        <f>DATE('2. Setup'!$C$10,9,1)</f>
        <v>46266</v>
      </c>
      <c r="C43" s="101">
        <f>ROUND(SUMIFS(Txn_Rev,Txn_Date,"&gt;="&amp;$B43,Txn_Date,"&lt;="&amp;EOMONTH($B43,0))+SUMIFS('7. Settlements'!$N$8:$N$107,'7. Settlements'!$C$8:$C$107,"&gt;="&amp;$B43,'7. Settlements'!$C$8:$C$107,"&lt;="&amp;EOMONTH($B43,0)),2)</f>
        <v>0</v>
      </c>
      <c r="E43" s="101">
        <f>ROUND(SUMIFS(Txn_Ded,Txn_Date,"&gt;="&amp;$B43,Txn_Date,"&lt;="&amp;EOMONTH($B43,0))+SUMIFS('7. Settlements'!$O$8:$O$107,'7. Settlements'!$C$8:$C$107,"&gt;="&amp;$B43,'7. Settlements'!$C$8:$C$107,"&lt;="&amp;EOMONTH($B43,0))+SUMIFS('9. Payroll Allocation'!$G$234:$G$253,'9. Payroll Allocation'!$C$234:$C$253,"&gt;="&amp;$B43,'9. Payroll Allocation'!$C$234:$C$253,"&lt;="&amp;EOMONTH($B43,0)),2)</f>
        <v>0</v>
      </c>
      <c r="F43" s="102">
        <f t="shared" si="0"/>
        <v>0</v>
      </c>
    </row>
    <row r="44" spans="1:10" x14ac:dyDescent="0.25">
      <c r="B44" s="103">
        <f>DATE('2. Setup'!$C$10,10,1)</f>
        <v>46296</v>
      </c>
      <c r="C44" s="104">
        <f>ROUND(SUMIFS(Txn_Rev,Txn_Date,"&gt;="&amp;$B44,Txn_Date,"&lt;="&amp;EOMONTH($B44,0))+SUMIFS('7. Settlements'!$N$8:$N$107,'7. Settlements'!$C$8:$C$107,"&gt;="&amp;$B44,'7. Settlements'!$C$8:$C$107,"&lt;="&amp;EOMONTH($B44,0)),2)</f>
        <v>0</v>
      </c>
      <c r="E44" s="104">
        <f>ROUND(SUMIFS(Txn_Ded,Txn_Date,"&gt;="&amp;$B44,Txn_Date,"&lt;="&amp;EOMONTH($B44,0))+SUMIFS('7. Settlements'!$O$8:$O$107,'7. Settlements'!$C$8:$C$107,"&gt;="&amp;$B44,'7. Settlements'!$C$8:$C$107,"&lt;="&amp;EOMONTH($B44,0))+SUMIFS('9. Payroll Allocation'!$G$234:$G$253,'9. Payroll Allocation'!$C$234:$C$253,"&gt;="&amp;$B44,'9. Payroll Allocation'!$C$234:$C$253,"&lt;="&amp;EOMONTH($B44,0)),2)</f>
        <v>0</v>
      </c>
      <c r="F44" s="105">
        <f t="shared" si="0"/>
        <v>0</v>
      </c>
    </row>
    <row r="45" spans="1:10" x14ac:dyDescent="0.25">
      <c r="B45" s="100">
        <f>DATE('2. Setup'!$C$10,11,1)</f>
        <v>46327</v>
      </c>
      <c r="C45" s="101">
        <f>ROUND(SUMIFS(Txn_Rev,Txn_Date,"&gt;="&amp;$B45,Txn_Date,"&lt;="&amp;EOMONTH($B45,0))+SUMIFS('7. Settlements'!$N$8:$N$107,'7. Settlements'!$C$8:$C$107,"&gt;="&amp;$B45,'7. Settlements'!$C$8:$C$107,"&lt;="&amp;EOMONTH($B45,0)),2)</f>
        <v>0</v>
      </c>
      <c r="E45" s="101">
        <f>ROUND(SUMIFS(Txn_Ded,Txn_Date,"&gt;="&amp;$B45,Txn_Date,"&lt;="&amp;EOMONTH($B45,0))+SUMIFS('7. Settlements'!$O$8:$O$107,'7. Settlements'!$C$8:$C$107,"&gt;="&amp;$B45,'7. Settlements'!$C$8:$C$107,"&lt;="&amp;EOMONTH($B45,0))+SUMIFS('9. Payroll Allocation'!$G$234:$G$253,'9. Payroll Allocation'!$C$234:$C$253,"&gt;="&amp;$B45,'9. Payroll Allocation'!$C$234:$C$253,"&lt;="&amp;EOMONTH($B45,0)),2)</f>
        <v>0</v>
      </c>
      <c r="F45" s="102">
        <f t="shared" si="0"/>
        <v>0</v>
      </c>
    </row>
    <row r="46" spans="1:10" x14ac:dyDescent="0.25">
      <c r="B46" s="103">
        <f>DATE('2. Setup'!$C$10,12,1)</f>
        <v>46357</v>
      </c>
      <c r="C46" s="104">
        <f>ROUND(SUMIFS(Txn_Rev,Txn_Date,"&gt;="&amp;$B46,Txn_Date,"&lt;="&amp;EOMONTH($B46,0))+SUMIFS('7. Settlements'!$N$8:$N$107,'7. Settlements'!$C$8:$C$107,"&gt;="&amp;$B46,'7. Settlements'!$C$8:$C$107,"&lt;="&amp;EOMONTH($B46,0)),2)</f>
        <v>0</v>
      </c>
      <c r="E46" s="104">
        <f>ROUND(SUMIFS(Txn_Ded,Txn_Date,"&gt;="&amp;$B46,Txn_Date,"&lt;="&amp;EOMONTH($B46,0))+SUMIFS('7. Settlements'!$O$8:$O$107,'7. Settlements'!$C$8:$C$107,"&gt;="&amp;$B46,'7. Settlements'!$C$8:$C$107,"&lt;="&amp;EOMONTH($B46,0))+SUMIFS('9. Payroll Allocation'!$G$234:$G$253,'9. Payroll Allocation'!$C$234:$C$253,"&gt;="&amp;$B46,'9. Payroll Allocation'!$C$234:$C$253,"&lt;="&amp;EOMONTH($B46,0)),2)</f>
        <v>0</v>
      </c>
      <c r="F46" s="105">
        <f t="shared" si="0"/>
        <v>0</v>
      </c>
    </row>
    <row r="47" spans="1:10" x14ac:dyDescent="0.25">
      <c r="B47" s="51" t="s">
        <v>383</v>
      </c>
      <c r="C47" s="106">
        <f>SUM(C35:C46)</f>
        <v>0</v>
      </c>
      <c r="E47" s="106">
        <f>SUM(E35:E46)</f>
        <v>0</v>
      </c>
      <c r="F47" s="106">
        <f>SUM(F35:F46)</f>
        <v>0</v>
      </c>
    </row>
    <row r="48" spans="1:10" ht="8.1" customHeight="1" x14ac:dyDescent="0.25"/>
    <row r="49" spans="1:10" ht="15.6" customHeight="1" x14ac:dyDescent="0.25">
      <c r="A49" s="187" t="s">
        <v>69</v>
      </c>
      <c r="B49" s="173"/>
      <c r="C49" s="173"/>
      <c r="D49" s="173"/>
      <c r="E49" s="173"/>
      <c r="F49" s="173"/>
      <c r="G49" s="173"/>
      <c r="H49" s="173"/>
      <c r="I49" s="173"/>
      <c r="J49" s="173"/>
    </row>
  </sheetData>
  <sheetProtection sheet="1" formatCells="0" formatColumns="0" formatRows="0" insertRows="0" deleteRows="0"/>
  <mergeCells count="12">
    <mergeCell ref="A1:J1"/>
    <mergeCell ref="E6:F6"/>
    <mergeCell ref="H6:I6"/>
    <mergeCell ref="E15:F15"/>
    <mergeCell ref="H31:I31"/>
    <mergeCell ref="A3:J3"/>
    <mergeCell ref="H35:I38"/>
    <mergeCell ref="A2:J2"/>
    <mergeCell ref="A49:J49"/>
    <mergeCell ref="A33:J33"/>
    <mergeCell ref="H26:I26"/>
    <mergeCell ref="B6:C6"/>
  </mergeCells>
  <conditionalFormatting sqref="C14">
    <cfRule type="cellIs" dxfId="14" priority="1" operator="lessThan">
      <formula>0</formula>
    </cfRule>
  </conditionalFormatting>
  <conditionalFormatting sqref="I9:I25">
    <cfRule type="cellIs" dxfId="13" priority="2" operator="greaterThan">
      <formula>0</formula>
    </cfRule>
    <cfRule type="cellIs" dxfId="12" priority="3" operator="equal">
      <formula>0</formula>
    </cfRule>
    <cfRule type="cellIs" dxfId="11" priority="4" operator="equal">
      <formula>"NOT STARTED"</formula>
    </cfRule>
    <cfRule type="cellIs" dxfId="10" priority="5" operator="equal">
      <formula>"TAX CLASSIFICATION NOT SET"</formula>
    </cfRule>
    <cfRule type="cellIs" dxfId="9" priority="6" operator="equal">
      <formula>"N/A - not an S corporation"</formula>
    </cfRule>
  </conditionalFormatting>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1:G89"/>
  <sheetViews>
    <sheetView showGridLines="0" workbookViewId="0"/>
  </sheetViews>
  <sheetFormatPr defaultRowHeight="15" x14ac:dyDescent="0.25"/>
  <cols>
    <col min="1" max="1" width="3" customWidth="1"/>
    <col min="2" max="2" width="54" customWidth="1"/>
    <col min="3" max="3" width="18" customWidth="1"/>
    <col min="4" max="4" width="3" customWidth="1"/>
    <col min="5" max="5" width="44" customWidth="1"/>
    <col min="6" max="6" width="18" customWidth="1"/>
    <col min="7" max="7" width="3" customWidth="1"/>
  </cols>
  <sheetData>
    <row r="1" spans="1:7" ht="27.95" customHeight="1" x14ac:dyDescent="0.25">
      <c r="A1" s="174" t="s">
        <v>384</v>
      </c>
      <c r="B1" s="173"/>
      <c r="C1" s="173"/>
      <c r="D1" s="173"/>
      <c r="E1" s="173"/>
      <c r="F1" s="173"/>
      <c r="G1" s="173"/>
    </row>
    <row r="2" spans="1:7" ht="17.100000000000001" customHeight="1" x14ac:dyDescent="0.25">
      <c r="A2" s="188" t="s">
        <v>385</v>
      </c>
      <c r="B2" s="173"/>
      <c r="C2" s="173"/>
      <c r="D2" s="173"/>
      <c r="E2" s="173"/>
      <c r="F2" s="173"/>
      <c r="G2" s="173"/>
    </row>
    <row r="3" spans="1:7" ht="14.1" customHeight="1" x14ac:dyDescent="0.25">
      <c r="A3" s="179" t="s">
        <v>2</v>
      </c>
      <c r="B3" s="173"/>
      <c r="C3" s="173"/>
      <c r="D3" s="173"/>
      <c r="E3" s="173"/>
      <c r="F3" s="173"/>
      <c r="G3" s="173"/>
    </row>
    <row r="4" spans="1:7" ht="8.1" customHeight="1" x14ac:dyDescent="0.25"/>
    <row r="5" spans="1:7" ht="47.1" customHeight="1" x14ac:dyDescent="0.25">
      <c r="A5" s="177" t="s">
        <v>386</v>
      </c>
      <c r="B5" s="173"/>
      <c r="C5" s="173"/>
      <c r="D5" s="173"/>
      <c r="E5" s="173"/>
      <c r="F5" s="173"/>
      <c r="G5" s="173"/>
    </row>
    <row r="6" spans="1:7" ht="8.1" customHeight="1" x14ac:dyDescent="0.25"/>
    <row r="7" spans="1:7" x14ac:dyDescent="0.25">
      <c r="B7" s="231" t="str">
        <f>CONCATENATE("Business: ",'2. Setup'!$C$6," | Owner: ",'2. Setup'!$C$7," | Tax classification: ",'2. Setup'!$C$9," | Tax year: ",TEXT('2. Setup'!$C$10,"0"))</f>
        <v>Business: Your Healthcare Business, PLLC | Owner: Dr. Jane Doe | Tax classification:  | Tax year: 2026</v>
      </c>
      <c r="C7" s="173"/>
      <c r="D7" s="173"/>
      <c r="E7" s="173"/>
      <c r="F7" s="173"/>
    </row>
    <row r="8" spans="1:7" ht="8.1" customHeight="1" x14ac:dyDescent="0.25"/>
    <row r="9" spans="1:7" ht="20.100000000000001" customHeight="1" x14ac:dyDescent="0.25">
      <c r="A9" s="178" t="s">
        <v>387</v>
      </c>
      <c r="B9" s="173"/>
      <c r="C9" s="173"/>
      <c r="D9" s="173"/>
      <c r="E9" s="173"/>
      <c r="F9" s="173"/>
      <c r="G9" s="173"/>
    </row>
    <row r="10" spans="1:7" x14ac:dyDescent="0.25">
      <c r="B10" s="107" t="s">
        <v>388</v>
      </c>
      <c r="C10" s="108">
        <f>'12. Dashboard'!$C$9</f>
        <v>0</v>
      </c>
    </row>
    <row r="11" spans="1:7" x14ac:dyDescent="0.25">
      <c r="B11" s="107" t="s">
        <v>389</v>
      </c>
      <c r="C11" s="108">
        <f>'12. Dashboard'!$C$13</f>
        <v>0</v>
      </c>
    </row>
    <row r="12" spans="1:7" x14ac:dyDescent="0.25">
      <c r="B12" s="107" t="s">
        <v>390</v>
      </c>
      <c r="C12" s="108">
        <f>'12. Dashboard'!$C$14</f>
        <v>0</v>
      </c>
    </row>
    <row r="13" spans="1:7" ht="8.1" customHeight="1" x14ac:dyDescent="0.25"/>
    <row r="14" spans="1:7" ht="20.100000000000001" customHeight="1" x14ac:dyDescent="0.25">
      <c r="A14" s="178" t="s">
        <v>391</v>
      </c>
      <c r="B14" s="173"/>
      <c r="C14" s="173"/>
      <c r="D14" s="173"/>
      <c r="E14" s="173"/>
      <c r="F14" s="173"/>
      <c r="G14" s="173"/>
    </row>
    <row r="15" spans="1:7" x14ac:dyDescent="0.25">
      <c r="B15" s="107" t="s">
        <v>336</v>
      </c>
      <c r="C15" s="108">
        <f>ROUND(SUMIFS(Txn_In,Txn_Treat,"Non-Operating Income"),2)</f>
        <v>0</v>
      </c>
    </row>
    <row r="16" spans="1:7" x14ac:dyDescent="0.25">
      <c r="B16" s="107" t="s">
        <v>392</v>
      </c>
      <c r="C16" s="108">
        <f>ROUND(SUMIFS(Txn_Out,Txn_Treat,"Owner-Level Tax Item"),2)</f>
        <v>0</v>
      </c>
    </row>
    <row r="17" spans="1:7" x14ac:dyDescent="0.25">
      <c r="B17" s="107" t="s">
        <v>393</v>
      </c>
      <c r="C17" s="108">
        <f>ROUND(SUMIFS(Txn_Out,Txn_Cat,"Owner Draw / Distribution"),2)</f>
        <v>0</v>
      </c>
    </row>
    <row r="18" spans="1:7" x14ac:dyDescent="0.25">
      <c r="B18" s="107" t="s">
        <v>394</v>
      </c>
      <c r="C18" s="108">
        <f>ROUND(SUMIFS(Txn_In,Txn_Cat,"Owner Contribution / Capital In"),2)</f>
        <v>0</v>
      </c>
    </row>
    <row r="19" spans="1:7" x14ac:dyDescent="0.25">
      <c r="B19" s="107" t="s">
        <v>395</v>
      </c>
      <c r="C19" s="108">
        <f>ROUND(SUMIFS(Txn_Out,Txn_Cat,"Loan Principal Payment"),2)</f>
        <v>0</v>
      </c>
    </row>
    <row r="20" spans="1:7" ht="8.1" customHeight="1" x14ac:dyDescent="0.25"/>
    <row r="21" spans="1:7" ht="20.100000000000001" customHeight="1" x14ac:dyDescent="0.25">
      <c r="A21" s="178" t="s">
        <v>396</v>
      </c>
      <c r="B21" s="173"/>
      <c r="C21" s="173"/>
      <c r="D21" s="173"/>
      <c r="E21" s="173"/>
      <c r="F21" s="173"/>
      <c r="G21" s="173"/>
    </row>
    <row r="22" spans="1:7" x14ac:dyDescent="0.25">
      <c r="B22" s="107" t="s">
        <v>397</v>
      </c>
      <c r="C22" s="108">
        <f>ROUND(SUMIFS(Txn_Out,Txn_Treat,"Review Required"),2)</f>
        <v>0</v>
      </c>
    </row>
    <row r="23" spans="1:7" x14ac:dyDescent="0.25">
      <c r="B23" s="107" t="s">
        <v>398</v>
      </c>
      <c r="C23" s="49">
        <f>COUNTIF(Txn_Treat,"Review Required")</f>
        <v>0</v>
      </c>
    </row>
    <row r="24" spans="1:7" x14ac:dyDescent="0.25">
      <c r="B24" s="107" t="s">
        <v>399</v>
      </c>
      <c r="C24" s="108">
        <f>ROUND(SUMIFS(Txn_Out,Txn_Treat,"Uncategorized"),2)</f>
        <v>0</v>
      </c>
    </row>
    <row r="25" spans="1:7" x14ac:dyDescent="0.25">
      <c r="B25" s="107" t="s">
        <v>400</v>
      </c>
      <c r="C25" s="108">
        <f>ROUND(SUMIFS(Txn_In,Txn_Treat,"Uncategorized"),2)</f>
        <v>0</v>
      </c>
    </row>
    <row r="26" spans="1:7" x14ac:dyDescent="0.25">
      <c r="B26" s="107" t="s">
        <v>401</v>
      </c>
      <c r="C26" s="49">
        <f>COUNTIF(Txn_Treat,"Uncategorized")</f>
        <v>0</v>
      </c>
    </row>
    <row r="27" spans="1:7" ht="8.1" customHeight="1" x14ac:dyDescent="0.25"/>
    <row r="28" spans="1:7" ht="20.100000000000001" customHeight="1" x14ac:dyDescent="0.25">
      <c r="A28" s="178" t="s">
        <v>402</v>
      </c>
      <c r="B28" s="173"/>
      <c r="C28" s="173"/>
      <c r="D28" s="173"/>
      <c r="E28" s="173"/>
      <c r="F28" s="173"/>
      <c r="G28" s="173"/>
    </row>
    <row r="29" spans="1:7" x14ac:dyDescent="0.25">
      <c r="B29" s="107" t="s">
        <v>90</v>
      </c>
      <c r="C29" s="109">
        <f>'2. Setup'!$C$16</f>
        <v>0</v>
      </c>
    </row>
    <row r="30" spans="1:7" x14ac:dyDescent="0.25">
      <c r="B30" s="107" t="s">
        <v>92</v>
      </c>
      <c r="C30" s="109">
        <f>'2. Setup'!$C$17</f>
        <v>0</v>
      </c>
    </row>
    <row r="31" spans="1:7" ht="29.1" customHeight="1" x14ac:dyDescent="0.25">
      <c r="B31" s="107" t="s">
        <v>403</v>
      </c>
      <c r="C31" s="110" t="str">
        <f>IF(N('2. Setup'!$C$17)=0,"-",ROUND(N('2. Setup'!$C$16)/N('2. Setup'!$C$17),3))</f>
        <v>-</v>
      </c>
      <c r="E31" s="182" t="s">
        <v>404</v>
      </c>
      <c r="F31" s="173"/>
      <c r="G31" s="173"/>
    </row>
    <row r="32" spans="1:7" ht="8.1" customHeight="1" x14ac:dyDescent="0.25"/>
    <row r="33" spans="1:7" ht="20.100000000000001" customHeight="1" x14ac:dyDescent="0.25">
      <c r="A33" s="178" t="s">
        <v>405</v>
      </c>
      <c r="B33" s="173"/>
      <c r="C33" s="173"/>
      <c r="D33" s="173"/>
      <c r="E33" s="173"/>
      <c r="F33" s="173"/>
      <c r="G33" s="173"/>
    </row>
    <row r="34" spans="1:7" ht="15.6" customHeight="1" x14ac:dyDescent="0.25">
      <c r="B34" s="182" t="s">
        <v>406</v>
      </c>
      <c r="C34" s="173"/>
      <c r="D34" s="173"/>
      <c r="E34" s="173"/>
      <c r="F34" s="173"/>
      <c r="G34" s="173"/>
    </row>
    <row r="35" spans="1:7" ht="26.1" customHeight="1" x14ac:dyDescent="0.25">
      <c r="B35" s="230" t="str">
        <f>IF('2. Setup'!$C$18="Actual expenses","You chose ACTUAL EXPENSES on Setup. The mileage figures below are shown for reference only - do not claim them as well. Give your accountant your vehicle cost records instead.","")</f>
        <v/>
      </c>
      <c r="C35" s="214"/>
      <c r="D35" s="214"/>
      <c r="E35" s="214"/>
      <c r="F35" s="214"/>
      <c r="G35" s="191"/>
    </row>
    <row r="36" spans="1:7" x14ac:dyDescent="0.25">
      <c r="B36" s="97" t="s">
        <v>407</v>
      </c>
      <c r="C36" s="97" t="s">
        <v>306</v>
      </c>
      <c r="E36" s="97" t="s">
        <v>408</v>
      </c>
    </row>
    <row r="37" spans="1:7" x14ac:dyDescent="0.25">
      <c r="B37" s="107" t="s">
        <v>409</v>
      </c>
      <c r="C37" s="111">
        <f>'10. Mileage Log'!$F$316</f>
        <v>0</v>
      </c>
      <c r="E37" s="108">
        <f>IF('2. Setup'!$C$18="Actual expenses",0,'10. Mileage Log'!$H$316)</f>
        <v>0</v>
      </c>
    </row>
    <row r="38" spans="1:7" x14ac:dyDescent="0.25">
      <c r="B38" s="107" t="s">
        <v>410</v>
      </c>
      <c r="C38" s="111">
        <f>'10. Mileage Log'!$F$317</f>
        <v>0</v>
      </c>
      <c r="E38" s="108">
        <f>IF('2. Setup'!$C$18="Actual expenses",0,'10. Mileage Log'!$H$317)</f>
        <v>0</v>
      </c>
    </row>
    <row r="39" spans="1:7" x14ac:dyDescent="0.25">
      <c r="B39" s="112" t="s">
        <v>411</v>
      </c>
      <c r="C39" s="82">
        <f>'10. Mileage Log'!$F$315</f>
        <v>0</v>
      </c>
      <c r="E39" s="106">
        <f>IF('2. Setup'!$C$18="Actual expenses",0,'10. Mileage Log'!$H$315)</f>
        <v>0</v>
      </c>
    </row>
    <row r="40" spans="1:7" ht="8.1" customHeight="1" x14ac:dyDescent="0.25"/>
    <row r="41" spans="1:7" ht="20.100000000000001" customHeight="1" x14ac:dyDescent="0.25">
      <c r="A41" s="178" t="s">
        <v>412</v>
      </c>
      <c r="B41" s="173"/>
      <c r="C41" s="173"/>
      <c r="D41" s="173"/>
      <c r="E41" s="173"/>
      <c r="F41" s="173"/>
      <c r="G41" s="173"/>
    </row>
    <row r="42" spans="1:7" x14ac:dyDescent="0.25">
      <c r="B42" s="107" t="s">
        <v>413</v>
      </c>
      <c r="C42" s="108">
        <f>'9. Payroll Allocation'!$G$260</f>
        <v>0</v>
      </c>
    </row>
    <row r="43" spans="1:7" x14ac:dyDescent="0.25">
      <c r="B43" s="107" t="s">
        <v>414</v>
      </c>
      <c r="C43" s="108">
        <f>'9. Payroll Allocation'!$E$260</f>
        <v>0</v>
      </c>
    </row>
    <row r="44" spans="1:7" x14ac:dyDescent="0.25">
      <c r="B44" s="107" t="s">
        <v>415</v>
      </c>
      <c r="C44" s="108">
        <f>Pay_Owner_Wages</f>
        <v>0</v>
      </c>
    </row>
    <row r="45" spans="1:7" x14ac:dyDescent="0.25">
      <c r="B45" s="107" t="s">
        <v>416</v>
      </c>
      <c r="C45" s="108">
        <f>Pay_Owner_Taxes</f>
        <v>0</v>
      </c>
    </row>
    <row r="46" spans="1:7" x14ac:dyDescent="0.25">
      <c r="B46" s="107" t="s">
        <v>417</v>
      </c>
      <c r="C46" s="108">
        <f>ROUND(SUMIFS(Txn_Out,Txn_Cat,"Contract Labor / 1099 Providers"),2)</f>
        <v>0</v>
      </c>
    </row>
    <row r="47" spans="1:7" x14ac:dyDescent="0.25">
      <c r="B47" s="107" t="s">
        <v>418</v>
      </c>
      <c r="C47" s="108">
        <f>ROUND(SUMIFS(Txn_Out,Txn_Cat,"Locum Tenens Coverage Paid"),2)</f>
        <v>0</v>
      </c>
    </row>
    <row r="48" spans="1:7" x14ac:dyDescent="0.25">
      <c r="B48" s="107" t="s">
        <v>419</v>
      </c>
      <c r="C48" s="108">
        <f>ROUND(SUMIFS(Txn_Out,Txn_Cat,"Legal Fees"),2)</f>
        <v>0</v>
      </c>
    </row>
    <row r="49" spans="1:7" ht="8.1" customHeight="1" x14ac:dyDescent="0.25"/>
    <row r="50" spans="1:7" ht="20.100000000000001" customHeight="1" x14ac:dyDescent="0.25">
      <c r="A50" s="178" t="s">
        <v>420</v>
      </c>
      <c r="B50" s="173"/>
      <c r="C50" s="173"/>
      <c r="D50" s="173"/>
      <c r="E50" s="173"/>
      <c r="F50" s="173"/>
      <c r="G50" s="173"/>
    </row>
    <row r="51" spans="1:7" ht="44.85" customHeight="1" x14ac:dyDescent="0.25">
      <c r="A51" s="192" t="s">
        <v>421</v>
      </c>
      <c r="B51" s="173"/>
      <c r="C51" s="173"/>
      <c r="D51" s="173"/>
      <c r="E51" s="173"/>
      <c r="F51" s="173"/>
      <c r="G51" s="173"/>
    </row>
    <row r="52" spans="1:7" x14ac:dyDescent="0.25">
      <c r="B52" s="107" t="s">
        <v>422</v>
      </c>
      <c r="C52" s="108">
        <f>IFERROR(INDEX(TR_Value,MATCH("form_1099_nec_threshold",TR_Id,0)),"see Tax Rules")</f>
        <v>2000</v>
      </c>
    </row>
    <row r="53" spans="1:7" x14ac:dyDescent="0.25">
      <c r="B53" s="107" t="s">
        <v>423</v>
      </c>
      <c r="C53" s="108">
        <f>IFERROR(INDEX(TR_Value,MATCH("form_1099_misc_medical_threshold",TR_Id,0)),"see Tax Rules")</f>
        <v>2000</v>
      </c>
    </row>
    <row r="54" spans="1:7" x14ac:dyDescent="0.25">
      <c r="B54" s="107" t="s">
        <v>424</v>
      </c>
      <c r="C54" s="108">
        <f>IFERROR(INDEX(TR_Value,MATCH("form_1099_attorney_fees_threshold",TR_Id,0)),"see Tax Rules")</f>
        <v>2000</v>
      </c>
    </row>
    <row r="55" spans="1:7" x14ac:dyDescent="0.25">
      <c r="B55" s="107" t="s">
        <v>425</v>
      </c>
      <c r="C55" s="108">
        <f>IFERROR(INDEX(TR_Value,MATCH("form_1099_attorney_gross_proceeds_threshold",TR_Id,0)),"see Tax Rules")</f>
        <v>600</v>
      </c>
    </row>
    <row r="56" spans="1:7" ht="29.1" customHeight="1" x14ac:dyDescent="0.25">
      <c r="B56" s="232" t="s">
        <v>426</v>
      </c>
      <c r="C56" s="173"/>
      <c r="D56" s="173"/>
      <c r="E56" s="173"/>
      <c r="F56" s="173"/>
    </row>
    <row r="57" spans="1:7" ht="29.1" customHeight="1" x14ac:dyDescent="0.25">
      <c r="B57" s="232" t="s">
        <v>427</v>
      </c>
      <c r="C57" s="173"/>
      <c r="D57" s="173"/>
      <c r="E57" s="173"/>
      <c r="F57" s="173"/>
    </row>
    <row r="58" spans="1:7" ht="17.100000000000001" customHeight="1" x14ac:dyDescent="0.25">
      <c r="B58" s="228" t="s">
        <v>428</v>
      </c>
      <c r="C58" s="173"/>
      <c r="D58" s="173"/>
      <c r="E58" s="173"/>
      <c r="F58" s="173"/>
    </row>
    <row r="59" spans="1:7" ht="17.100000000000001" customHeight="1" x14ac:dyDescent="0.25">
      <c r="B59" s="228" t="s">
        <v>429</v>
      </c>
      <c r="C59" s="173"/>
      <c r="D59" s="173"/>
      <c r="E59" s="173"/>
      <c r="F59" s="173"/>
    </row>
    <row r="60" spans="1:7" ht="8.1" customHeight="1" x14ac:dyDescent="0.25"/>
    <row r="61" spans="1:7" x14ac:dyDescent="0.25">
      <c r="B61" s="233" t="s">
        <v>430</v>
      </c>
      <c r="C61" s="173"/>
      <c r="D61" s="173"/>
      <c r="E61" s="173"/>
      <c r="F61" s="173"/>
    </row>
    <row r="62" spans="1:7" x14ac:dyDescent="0.25">
      <c r="B62" s="97" t="s">
        <v>431</v>
      </c>
      <c r="C62" s="97" t="s">
        <v>432</v>
      </c>
      <c r="E62" s="97" t="s">
        <v>433</v>
      </c>
      <c r="F62" s="97" t="s">
        <v>434</v>
      </c>
    </row>
    <row r="63" spans="1:7" x14ac:dyDescent="0.25">
      <c r="B63" s="28"/>
      <c r="C63" s="28"/>
      <c r="E63" s="38"/>
      <c r="F63" s="29"/>
    </row>
    <row r="64" spans="1:7" x14ac:dyDescent="0.25">
      <c r="B64" s="28"/>
      <c r="C64" s="28"/>
      <c r="E64" s="38"/>
      <c r="F64" s="29"/>
    </row>
    <row r="65" spans="1:7" x14ac:dyDescent="0.25">
      <c r="B65" s="28"/>
      <c r="C65" s="28"/>
      <c r="E65" s="38"/>
      <c r="F65" s="29"/>
    </row>
    <row r="66" spans="1:7" x14ac:dyDescent="0.25">
      <c r="B66" s="28"/>
      <c r="C66" s="28"/>
      <c r="E66" s="38"/>
      <c r="F66" s="29"/>
    </row>
    <row r="67" spans="1:7" x14ac:dyDescent="0.25">
      <c r="B67" s="28"/>
      <c r="C67" s="28"/>
      <c r="E67" s="38"/>
      <c r="F67" s="29"/>
    </row>
    <row r="68" spans="1:7" x14ac:dyDescent="0.25">
      <c r="B68" s="28"/>
      <c r="C68" s="28"/>
      <c r="E68" s="38"/>
      <c r="F68" s="29"/>
    </row>
    <row r="69" spans="1:7" x14ac:dyDescent="0.25">
      <c r="B69" s="28"/>
      <c r="C69" s="28"/>
      <c r="E69" s="38"/>
      <c r="F69" s="29"/>
    </row>
    <row r="70" spans="1:7" x14ac:dyDescent="0.25">
      <c r="B70" s="28"/>
      <c r="C70" s="28"/>
      <c r="E70" s="38"/>
      <c r="F70" s="29"/>
    </row>
    <row r="71" spans="1:7" x14ac:dyDescent="0.25">
      <c r="B71" s="28"/>
      <c r="C71" s="28"/>
      <c r="E71" s="38"/>
      <c r="F71" s="29"/>
    </row>
    <row r="72" spans="1:7" x14ac:dyDescent="0.25">
      <c r="B72" s="28"/>
      <c r="C72" s="28"/>
      <c r="E72" s="38"/>
      <c r="F72" s="29"/>
    </row>
    <row r="73" spans="1:7" x14ac:dyDescent="0.25">
      <c r="B73" s="28"/>
      <c r="C73" s="28"/>
      <c r="E73" s="38"/>
      <c r="F73" s="29"/>
    </row>
    <row r="74" spans="1:7" x14ac:dyDescent="0.25">
      <c r="B74" s="28"/>
      <c r="C74" s="28"/>
      <c r="E74" s="38"/>
      <c r="F74" s="29"/>
    </row>
    <row r="75" spans="1:7" x14ac:dyDescent="0.25">
      <c r="B75" s="28"/>
      <c r="C75" s="28"/>
      <c r="E75" s="38"/>
      <c r="F75" s="29"/>
    </row>
    <row r="76" spans="1:7" x14ac:dyDescent="0.25">
      <c r="B76" s="28"/>
      <c r="C76" s="28"/>
      <c r="E76" s="38"/>
      <c r="F76" s="29"/>
    </row>
    <row r="77" spans="1:7" x14ac:dyDescent="0.25">
      <c r="B77" s="28"/>
      <c r="C77" s="28"/>
      <c r="E77" s="38"/>
      <c r="F77" s="29"/>
    </row>
    <row r="78" spans="1:7" ht="8.1" customHeight="1" x14ac:dyDescent="0.25"/>
    <row r="79" spans="1:7" ht="20.100000000000001" customHeight="1" x14ac:dyDescent="0.25">
      <c r="A79" s="178" t="s">
        <v>435</v>
      </c>
      <c r="B79" s="173"/>
      <c r="C79" s="173"/>
      <c r="D79" s="173"/>
      <c r="E79" s="173"/>
      <c r="F79" s="173"/>
      <c r="G79" s="173"/>
    </row>
    <row r="80" spans="1:7" ht="17.100000000000001" customHeight="1" x14ac:dyDescent="0.25">
      <c r="B80" s="228" t="s">
        <v>436</v>
      </c>
      <c r="C80" s="173"/>
      <c r="D80" s="173"/>
      <c r="E80" s="173"/>
      <c r="F80" s="173"/>
    </row>
    <row r="81" spans="1:7" ht="17.100000000000001" customHeight="1" x14ac:dyDescent="0.25">
      <c r="B81" s="228" t="s">
        <v>437</v>
      </c>
      <c r="C81" s="173"/>
      <c r="D81" s="173"/>
      <c r="E81" s="173"/>
      <c r="F81" s="173"/>
    </row>
    <row r="82" spans="1:7" ht="17.100000000000001" customHeight="1" x14ac:dyDescent="0.25">
      <c r="B82" s="228" t="s">
        <v>438</v>
      </c>
      <c r="C82" s="173"/>
      <c r="D82" s="173"/>
      <c r="E82" s="173"/>
      <c r="F82" s="173"/>
    </row>
    <row r="83" spans="1:7" ht="17.100000000000001" customHeight="1" x14ac:dyDescent="0.25">
      <c r="B83" s="228" t="s">
        <v>439</v>
      </c>
      <c r="C83" s="173"/>
      <c r="D83" s="173"/>
      <c r="E83" s="173"/>
      <c r="F83" s="173"/>
    </row>
    <row r="84" spans="1:7" ht="17.100000000000001" customHeight="1" x14ac:dyDescent="0.25">
      <c r="B84" s="228" t="s">
        <v>440</v>
      </c>
      <c r="C84" s="173"/>
      <c r="D84" s="173"/>
      <c r="E84" s="173"/>
      <c r="F84" s="173"/>
    </row>
    <row r="85" spans="1:7" ht="17.100000000000001" customHeight="1" x14ac:dyDescent="0.25">
      <c r="B85" s="228" t="s">
        <v>441</v>
      </c>
      <c r="C85" s="173"/>
      <c r="D85" s="173"/>
      <c r="E85" s="173"/>
      <c r="F85" s="173"/>
    </row>
    <row r="86" spans="1:7" ht="8.1" customHeight="1" x14ac:dyDescent="0.25"/>
    <row r="87" spans="1:7" ht="30.6" customHeight="1" x14ac:dyDescent="0.25">
      <c r="A87" s="229" t="s">
        <v>442</v>
      </c>
      <c r="B87" s="173"/>
      <c r="C87" s="173"/>
      <c r="D87" s="173"/>
      <c r="E87" s="173"/>
      <c r="F87" s="173"/>
      <c r="G87" s="173"/>
    </row>
    <row r="88" spans="1:7" ht="8.1" customHeight="1" x14ac:dyDescent="0.25"/>
    <row r="89" spans="1:7" ht="15.6" customHeight="1" x14ac:dyDescent="0.25">
      <c r="A89" s="187" t="s">
        <v>69</v>
      </c>
      <c r="B89" s="173"/>
      <c r="C89" s="173"/>
      <c r="D89" s="173"/>
      <c r="E89" s="173"/>
      <c r="F89" s="173"/>
      <c r="G89" s="173"/>
    </row>
  </sheetData>
  <sheetProtection sheet="1" formatCells="0" formatColumns="0" formatRows="0" insertRows="0" deleteRows="0"/>
  <mergeCells count="30">
    <mergeCell ref="A1:G1"/>
    <mergeCell ref="A79:G79"/>
    <mergeCell ref="A87:G87"/>
    <mergeCell ref="B35:G35"/>
    <mergeCell ref="B84:F84"/>
    <mergeCell ref="A41:G41"/>
    <mergeCell ref="B83:F83"/>
    <mergeCell ref="A2:G2"/>
    <mergeCell ref="A14:G14"/>
    <mergeCell ref="B7:F7"/>
    <mergeCell ref="B81:F81"/>
    <mergeCell ref="E31:G31"/>
    <mergeCell ref="B59:F59"/>
    <mergeCell ref="B58:F58"/>
    <mergeCell ref="B56:F56"/>
    <mergeCell ref="A28:G28"/>
    <mergeCell ref="A89:G89"/>
    <mergeCell ref="A3:G3"/>
    <mergeCell ref="A21:G21"/>
    <mergeCell ref="A50:G50"/>
    <mergeCell ref="B80:F80"/>
    <mergeCell ref="B85:F85"/>
    <mergeCell ref="A33:G33"/>
    <mergeCell ref="A5:G5"/>
    <mergeCell ref="B82:F82"/>
    <mergeCell ref="B34:G34"/>
    <mergeCell ref="A9:G9"/>
    <mergeCell ref="B61:F61"/>
    <mergeCell ref="A51:G51"/>
    <mergeCell ref="B57:F57"/>
  </mergeCells>
  <dataValidations count="1">
    <dataValidation type="list" allowBlank="1" sqref="F63:F77" xr:uid="{00000000-0002-0000-0C00-000000000000}">
      <formula1>"Yes,No - request it,Not sure"</formula1>
    </dataValidation>
  </dataValidation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00B050"/>
    <pageSetUpPr fitToPage="1"/>
  </sheetPr>
  <dimension ref="A1:P148"/>
  <sheetViews>
    <sheetView showGridLines="0" workbookViewId="0">
      <pane xSplit="3" ySplit="9" topLeftCell="D10" activePane="bottomRight" state="frozen"/>
      <selection pane="topRight"/>
      <selection pane="bottomLeft"/>
      <selection pane="bottomRight"/>
    </sheetView>
  </sheetViews>
  <sheetFormatPr defaultRowHeight="15" x14ac:dyDescent="0.25"/>
  <cols>
    <col min="1" max="1" width="3" customWidth="1"/>
    <col min="2" max="2" width="13" customWidth="1"/>
    <col min="3" max="3" width="54" customWidth="1"/>
    <col min="4" max="15" width="11" customWidth="1"/>
    <col min="16" max="16" width="15" customWidth="1"/>
  </cols>
  <sheetData>
    <row r="1" spans="1:16" ht="27.95" customHeight="1" x14ac:dyDescent="0.25">
      <c r="A1" s="174" t="s">
        <v>443</v>
      </c>
      <c r="B1" s="173"/>
      <c r="C1" s="173"/>
      <c r="D1" s="173"/>
      <c r="E1" s="173"/>
      <c r="F1" s="173"/>
      <c r="G1" s="173"/>
      <c r="H1" s="173"/>
      <c r="I1" s="173"/>
      <c r="J1" s="173"/>
      <c r="K1" s="173"/>
      <c r="L1" s="173"/>
      <c r="M1" s="173"/>
      <c r="N1" s="173"/>
      <c r="O1" s="173"/>
      <c r="P1" s="173"/>
    </row>
    <row r="2" spans="1:16" ht="17.100000000000001" customHeight="1" x14ac:dyDescent="0.25">
      <c r="A2" s="188" t="s">
        <v>444</v>
      </c>
      <c r="B2" s="173"/>
      <c r="C2" s="173"/>
      <c r="D2" s="173"/>
      <c r="E2" s="173"/>
      <c r="F2" s="173"/>
      <c r="G2" s="173"/>
      <c r="H2" s="173"/>
      <c r="I2" s="173"/>
      <c r="J2" s="173"/>
      <c r="K2" s="173"/>
      <c r="L2" s="173"/>
      <c r="M2" s="173"/>
      <c r="N2" s="173"/>
      <c r="O2" s="173"/>
      <c r="P2" s="173"/>
    </row>
    <row r="3" spans="1:16" ht="14.1" customHeight="1" x14ac:dyDescent="0.25">
      <c r="A3" s="179" t="s">
        <v>2</v>
      </c>
      <c r="B3" s="173"/>
      <c r="C3" s="173"/>
      <c r="D3" s="173"/>
      <c r="E3" s="173"/>
      <c r="F3" s="173"/>
      <c r="G3" s="173"/>
      <c r="H3" s="173"/>
      <c r="I3" s="173"/>
      <c r="J3" s="173"/>
      <c r="K3" s="173"/>
      <c r="L3" s="173"/>
      <c r="M3" s="173"/>
      <c r="N3" s="173"/>
      <c r="O3" s="173"/>
      <c r="P3" s="173"/>
    </row>
    <row r="4" spans="1:16" ht="8.1" customHeight="1" x14ac:dyDescent="0.25"/>
    <row r="5" spans="1:16" ht="30.6" customHeight="1" x14ac:dyDescent="0.25">
      <c r="A5" s="192" t="s">
        <v>445</v>
      </c>
      <c r="B5" s="173"/>
      <c r="C5" s="173"/>
      <c r="D5" s="173"/>
      <c r="E5" s="173"/>
      <c r="F5" s="173"/>
      <c r="G5" s="173"/>
      <c r="H5" s="173"/>
      <c r="I5" s="173"/>
      <c r="J5" s="173"/>
      <c r="K5" s="173"/>
      <c r="L5" s="173"/>
      <c r="M5" s="173"/>
      <c r="N5" s="173"/>
      <c r="O5" s="173"/>
      <c r="P5" s="173"/>
    </row>
    <row r="6" spans="1:16" ht="8.1" customHeight="1" x14ac:dyDescent="0.25"/>
    <row r="7" spans="1:16" ht="20.100000000000001" customHeight="1" x14ac:dyDescent="0.25">
      <c r="B7" s="235" t="str">
        <f>IF(OR('2. Setup'!$C$9="",'2. Setup'!$C$9="Not sure - ask my accountant"),"TAX CLASSIFICATION NOT SET - set it on Setup C9",IF(OR('2. Setup'!$C$9="Sole Proprietor",'2. Setup'!$C$9="Single-Member LLC (disregarded)"),"Grouped for FORM 1040, SCHEDULE C",IF('2. Setup'!$C$9="S-Corporation","Grouped for FORM 1120-S",IF('2. Setup'!$C$9="Partnership / Multi-Member LLC","FORM 1065 - no line mapping exists yet","FORM 1120 - no line mapping exists yet"))))</f>
        <v>TAX CLASSIFICATION NOT SET - set it on Setup C9</v>
      </c>
      <c r="C7" s="214"/>
      <c r="D7" s="214"/>
      <c r="E7" s="214"/>
      <c r="F7" s="214"/>
      <c r="G7" s="214"/>
      <c r="H7" s="214"/>
      <c r="I7" s="214"/>
      <c r="J7" s="214"/>
      <c r="K7" s="214"/>
      <c r="L7" s="214"/>
      <c r="M7" s="214"/>
      <c r="N7" s="214"/>
      <c r="O7" s="214"/>
      <c r="P7" s="191"/>
    </row>
    <row r="8" spans="1:16" ht="8.1" customHeight="1" x14ac:dyDescent="0.25"/>
    <row r="9" spans="1:16" ht="24" customHeight="1" x14ac:dyDescent="0.25">
      <c r="B9" s="27" t="s">
        <v>446</v>
      </c>
      <c r="C9" s="27" t="s">
        <v>447</v>
      </c>
      <c r="D9" s="113">
        <f>DATE('2. Setup'!$C$10,1,1)</f>
        <v>46023</v>
      </c>
      <c r="E9" s="113">
        <f>DATE('2. Setup'!$C$10,2,1)</f>
        <v>46054</v>
      </c>
      <c r="F9" s="113">
        <f>DATE('2. Setup'!$C$10,3,1)</f>
        <v>46082</v>
      </c>
      <c r="G9" s="113">
        <f>DATE('2. Setup'!$C$10,4,1)</f>
        <v>46113</v>
      </c>
      <c r="H9" s="113">
        <f>DATE('2. Setup'!$C$10,5,1)</f>
        <v>46143</v>
      </c>
      <c r="I9" s="113">
        <f>DATE('2. Setup'!$C$10,6,1)</f>
        <v>46174</v>
      </c>
      <c r="J9" s="113">
        <f>DATE('2. Setup'!$C$10,7,1)</f>
        <v>46204</v>
      </c>
      <c r="K9" s="113">
        <f>DATE('2. Setup'!$C$10,8,1)</f>
        <v>46235</v>
      </c>
      <c r="L9" s="113">
        <f>DATE('2. Setup'!$C$10,9,1)</f>
        <v>46266</v>
      </c>
      <c r="M9" s="113">
        <f>DATE('2. Setup'!$C$10,10,1)</f>
        <v>46296</v>
      </c>
      <c r="N9" s="113">
        <f>DATE('2. Setup'!$C$10,11,1)</f>
        <v>46327</v>
      </c>
      <c r="O9" s="113">
        <f>DATE('2. Setup'!$C$10,12,1)</f>
        <v>46357</v>
      </c>
      <c r="P9" s="114" t="s">
        <v>448</v>
      </c>
    </row>
    <row r="10" spans="1:16" ht="20.100000000000001" customHeight="1" x14ac:dyDescent="0.25">
      <c r="A10" s="178" t="s">
        <v>449</v>
      </c>
      <c r="B10" s="173"/>
      <c r="C10" s="173"/>
      <c r="D10" s="173"/>
      <c r="E10" s="173"/>
      <c r="F10" s="173"/>
      <c r="G10" s="173"/>
      <c r="H10" s="173"/>
      <c r="I10" s="173"/>
      <c r="J10" s="173"/>
      <c r="K10" s="173"/>
      <c r="L10" s="173"/>
      <c r="M10" s="173"/>
      <c r="N10" s="173"/>
      <c r="O10" s="173"/>
      <c r="P10" s="173"/>
    </row>
    <row r="11" spans="1:16" x14ac:dyDescent="0.25">
      <c r="B11" s="115"/>
      <c r="C11" s="116" t="str">
        <f>Categories!$B$8</f>
        <v>Patient Fees - Insurance Reimbursement</v>
      </c>
      <c r="D11" s="117">
        <f t="shared" ref="D11:O24" si="0">ROUND(SUMIFS(Txn_Rev,Txn_Cat,$C11,Txn_Date,"&gt;="&amp;D$9,Txn_Date,"&lt;="&amp;EOMONTH(D$9,0)),2)</f>
        <v>0</v>
      </c>
      <c r="E11" s="117">
        <f t="shared" si="0"/>
        <v>0</v>
      </c>
      <c r="F11" s="117">
        <f t="shared" si="0"/>
        <v>0</v>
      </c>
      <c r="G11" s="117">
        <f t="shared" si="0"/>
        <v>0</v>
      </c>
      <c r="H11" s="117">
        <f t="shared" si="0"/>
        <v>0</v>
      </c>
      <c r="I11" s="117">
        <f t="shared" si="0"/>
        <v>0</v>
      </c>
      <c r="J11" s="117">
        <f t="shared" si="0"/>
        <v>0</v>
      </c>
      <c r="K11" s="117">
        <f t="shared" si="0"/>
        <v>0</v>
      </c>
      <c r="L11" s="117">
        <f t="shared" si="0"/>
        <v>0</v>
      </c>
      <c r="M11" s="117">
        <f t="shared" si="0"/>
        <v>0</v>
      </c>
      <c r="N11" s="117">
        <f t="shared" si="0"/>
        <v>0</v>
      </c>
      <c r="O11" s="117">
        <f t="shared" si="0"/>
        <v>0</v>
      </c>
      <c r="P11" s="118">
        <f t="shared" ref="P11:P24" si="1">ROUND(SUMIFS(Txn_Rev,Txn_Cat,$C11,Txn_Date,"&gt;="&amp;Yr_Start,Txn_Date,"&lt;="&amp;Yr_End),2)</f>
        <v>0</v>
      </c>
    </row>
    <row r="12" spans="1:16" x14ac:dyDescent="0.25">
      <c r="B12" s="119"/>
      <c r="C12" s="120" t="str">
        <f>Categories!$B$9</f>
        <v>Patient Fees - Self-Pay</v>
      </c>
      <c r="D12" s="121">
        <f t="shared" si="0"/>
        <v>0</v>
      </c>
      <c r="E12" s="121">
        <f t="shared" si="0"/>
        <v>0</v>
      </c>
      <c r="F12" s="121">
        <f t="shared" si="0"/>
        <v>0</v>
      </c>
      <c r="G12" s="121">
        <f t="shared" si="0"/>
        <v>0</v>
      </c>
      <c r="H12" s="121">
        <f t="shared" si="0"/>
        <v>0</v>
      </c>
      <c r="I12" s="121">
        <f t="shared" si="0"/>
        <v>0</v>
      </c>
      <c r="J12" s="121">
        <f t="shared" si="0"/>
        <v>0</v>
      </c>
      <c r="K12" s="121">
        <f t="shared" si="0"/>
        <v>0</v>
      </c>
      <c r="L12" s="121">
        <f t="shared" si="0"/>
        <v>0</v>
      </c>
      <c r="M12" s="121">
        <f t="shared" si="0"/>
        <v>0</v>
      </c>
      <c r="N12" s="121">
        <f t="shared" si="0"/>
        <v>0</v>
      </c>
      <c r="O12" s="121">
        <f t="shared" si="0"/>
        <v>0</v>
      </c>
      <c r="P12" s="122">
        <f t="shared" si="1"/>
        <v>0</v>
      </c>
    </row>
    <row r="13" spans="1:16" x14ac:dyDescent="0.25">
      <c r="B13" s="115"/>
      <c r="C13" s="116" t="str">
        <f>Categories!$B$10</f>
        <v>Copays &amp; Deductibles Collected</v>
      </c>
      <c r="D13" s="117">
        <f t="shared" si="0"/>
        <v>0</v>
      </c>
      <c r="E13" s="117">
        <f t="shared" si="0"/>
        <v>0</v>
      </c>
      <c r="F13" s="117">
        <f t="shared" si="0"/>
        <v>0</v>
      </c>
      <c r="G13" s="117">
        <f t="shared" si="0"/>
        <v>0</v>
      </c>
      <c r="H13" s="117">
        <f t="shared" si="0"/>
        <v>0</v>
      </c>
      <c r="I13" s="117">
        <f t="shared" si="0"/>
        <v>0</v>
      </c>
      <c r="J13" s="117">
        <f t="shared" si="0"/>
        <v>0</v>
      </c>
      <c r="K13" s="117">
        <f t="shared" si="0"/>
        <v>0</v>
      </c>
      <c r="L13" s="117">
        <f t="shared" si="0"/>
        <v>0</v>
      </c>
      <c r="M13" s="117">
        <f t="shared" si="0"/>
        <v>0</v>
      </c>
      <c r="N13" s="117">
        <f t="shared" si="0"/>
        <v>0</v>
      </c>
      <c r="O13" s="117">
        <f t="shared" si="0"/>
        <v>0</v>
      </c>
      <c r="P13" s="118">
        <f t="shared" si="1"/>
        <v>0</v>
      </c>
    </row>
    <row r="14" spans="1:16" x14ac:dyDescent="0.25">
      <c r="B14" s="119"/>
      <c r="C14" s="120" t="str">
        <f>Categories!$B$11</f>
        <v>Medicare / Medicaid Reimbursement</v>
      </c>
      <c r="D14" s="121">
        <f t="shared" si="0"/>
        <v>0</v>
      </c>
      <c r="E14" s="121">
        <f t="shared" si="0"/>
        <v>0</v>
      </c>
      <c r="F14" s="121">
        <f t="shared" si="0"/>
        <v>0</v>
      </c>
      <c r="G14" s="121">
        <f t="shared" si="0"/>
        <v>0</v>
      </c>
      <c r="H14" s="121">
        <f t="shared" si="0"/>
        <v>0</v>
      </c>
      <c r="I14" s="121">
        <f t="shared" si="0"/>
        <v>0</v>
      </c>
      <c r="J14" s="121">
        <f t="shared" si="0"/>
        <v>0</v>
      </c>
      <c r="K14" s="121">
        <f t="shared" si="0"/>
        <v>0</v>
      </c>
      <c r="L14" s="121">
        <f t="shared" si="0"/>
        <v>0</v>
      </c>
      <c r="M14" s="121">
        <f t="shared" si="0"/>
        <v>0</v>
      </c>
      <c r="N14" s="121">
        <f t="shared" si="0"/>
        <v>0</v>
      </c>
      <c r="O14" s="121">
        <f t="shared" si="0"/>
        <v>0</v>
      </c>
      <c r="P14" s="122">
        <f t="shared" si="1"/>
        <v>0</v>
      </c>
    </row>
    <row r="15" spans="1:16" x14ac:dyDescent="0.25">
      <c r="B15" s="115"/>
      <c r="C15" s="116" t="str">
        <f>Categories!$B$12</f>
        <v>Capitation / Value-Based Payments</v>
      </c>
      <c r="D15" s="117">
        <f t="shared" si="0"/>
        <v>0</v>
      </c>
      <c r="E15" s="117">
        <f t="shared" si="0"/>
        <v>0</v>
      </c>
      <c r="F15" s="117">
        <f t="shared" si="0"/>
        <v>0</v>
      </c>
      <c r="G15" s="117">
        <f t="shared" si="0"/>
        <v>0</v>
      </c>
      <c r="H15" s="117">
        <f t="shared" si="0"/>
        <v>0</v>
      </c>
      <c r="I15" s="117">
        <f t="shared" si="0"/>
        <v>0</v>
      </c>
      <c r="J15" s="117">
        <f t="shared" si="0"/>
        <v>0</v>
      </c>
      <c r="K15" s="117">
        <f t="shared" si="0"/>
        <v>0</v>
      </c>
      <c r="L15" s="117">
        <f t="shared" si="0"/>
        <v>0</v>
      </c>
      <c r="M15" s="117">
        <f t="shared" si="0"/>
        <v>0</v>
      </c>
      <c r="N15" s="117">
        <f t="shared" si="0"/>
        <v>0</v>
      </c>
      <c r="O15" s="117">
        <f t="shared" si="0"/>
        <v>0</v>
      </c>
      <c r="P15" s="118">
        <f t="shared" si="1"/>
        <v>0</v>
      </c>
    </row>
    <row r="16" spans="1:16" x14ac:dyDescent="0.25">
      <c r="B16" s="119"/>
      <c r="C16" s="120" t="str">
        <f>Categories!$B$13</f>
        <v>Locum Tenens / Moonlighting Income</v>
      </c>
      <c r="D16" s="121">
        <f t="shared" si="0"/>
        <v>0</v>
      </c>
      <c r="E16" s="121">
        <f t="shared" si="0"/>
        <v>0</v>
      </c>
      <c r="F16" s="121">
        <f t="shared" si="0"/>
        <v>0</v>
      </c>
      <c r="G16" s="121">
        <f t="shared" si="0"/>
        <v>0</v>
      </c>
      <c r="H16" s="121">
        <f t="shared" si="0"/>
        <v>0</v>
      </c>
      <c r="I16" s="121">
        <f t="shared" si="0"/>
        <v>0</v>
      </c>
      <c r="J16" s="121">
        <f t="shared" si="0"/>
        <v>0</v>
      </c>
      <c r="K16" s="121">
        <f t="shared" si="0"/>
        <v>0</v>
      </c>
      <c r="L16" s="121">
        <f t="shared" si="0"/>
        <v>0</v>
      </c>
      <c r="M16" s="121">
        <f t="shared" si="0"/>
        <v>0</v>
      </c>
      <c r="N16" s="121">
        <f t="shared" si="0"/>
        <v>0</v>
      </c>
      <c r="O16" s="121">
        <f t="shared" si="0"/>
        <v>0</v>
      </c>
      <c r="P16" s="122">
        <f t="shared" si="1"/>
        <v>0</v>
      </c>
    </row>
    <row r="17" spans="1:16" x14ac:dyDescent="0.25">
      <c r="B17" s="115"/>
      <c r="C17" s="116" t="str">
        <f>Categories!$B$14</f>
        <v>IME / Expert Witness / Legal Consulting</v>
      </c>
      <c r="D17" s="117">
        <f t="shared" si="0"/>
        <v>0</v>
      </c>
      <c r="E17" s="117">
        <f t="shared" si="0"/>
        <v>0</v>
      </c>
      <c r="F17" s="117">
        <f t="shared" si="0"/>
        <v>0</v>
      </c>
      <c r="G17" s="117">
        <f t="shared" si="0"/>
        <v>0</v>
      </c>
      <c r="H17" s="117">
        <f t="shared" si="0"/>
        <v>0</v>
      </c>
      <c r="I17" s="117">
        <f t="shared" si="0"/>
        <v>0</v>
      </c>
      <c r="J17" s="117">
        <f t="shared" si="0"/>
        <v>0</v>
      </c>
      <c r="K17" s="117">
        <f t="shared" si="0"/>
        <v>0</v>
      </c>
      <c r="L17" s="117">
        <f t="shared" si="0"/>
        <v>0</v>
      </c>
      <c r="M17" s="117">
        <f t="shared" si="0"/>
        <v>0</v>
      </c>
      <c r="N17" s="117">
        <f t="shared" si="0"/>
        <v>0</v>
      </c>
      <c r="O17" s="117">
        <f t="shared" si="0"/>
        <v>0</v>
      </c>
      <c r="P17" s="118">
        <f t="shared" si="1"/>
        <v>0</v>
      </c>
    </row>
    <row r="18" spans="1:16" x14ac:dyDescent="0.25">
      <c r="B18" s="119"/>
      <c r="C18" s="120" t="str">
        <f>Categories!$B$15</f>
        <v>Medical Directorship / Stipends</v>
      </c>
      <c r="D18" s="121">
        <f t="shared" si="0"/>
        <v>0</v>
      </c>
      <c r="E18" s="121">
        <f t="shared" si="0"/>
        <v>0</v>
      </c>
      <c r="F18" s="121">
        <f t="shared" si="0"/>
        <v>0</v>
      </c>
      <c r="G18" s="121">
        <f t="shared" si="0"/>
        <v>0</v>
      </c>
      <c r="H18" s="121">
        <f t="shared" si="0"/>
        <v>0</v>
      </c>
      <c r="I18" s="121">
        <f t="shared" si="0"/>
        <v>0</v>
      </c>
      <c r="J18" s="121">
        <f t="shared" si="0"/>
        <v>0</v>
      </c>
      <c r="K18" s="121">
        <f t="shared" si="0"/>
        <v>0</v>
      </c>
      <c r="L18" s="121">
        <f t="shared" si="0"/>
        <v>0</v>
      </c>
      <c r="M18" s="121">
        <f t="shared" si="0"/>
        <v>0</v>
      </c>
      <c r="N18" s="121">
        <f t="shared" si="0"/>
        <v>0</v>
      </c>
      <c r="O18" s="121">
        <f t="shared" si="0"/>
        <v>0</v>
      </c>
      <c r="P18" s="122">
        <f t="shared" si="1"/>
        <v>0</v>
      </c>
    </row>
    <row r="19" spans="1:16" x14ac:dyDescent="0.25">
      <c r="B19" s="115"/>
      <c r="C19" s="116" t="str">
        <f>Categories!$B$16</f>
        <v>Speaking, Teaching &amp; Honoraria</v>
      </c>
      <c r="D19" s="117">
        <f t="shared" si="0"/>
        <v>0</v>
      </c>
      <c r="E19" s="117">
        <f t="shared" si="0"/>
        <v>0</v>
      </c>
      <c r="F19" s="117">
        <f t="shared" si="0"/>
        <v>0</v>
      </c>
      <c r="G19" s="117">
        <f t="shared" si="0"/>
        <v>0</v>
      </c>
      <c r="H19" s="117">
        <f t="shared" si="0"/>
        <v>0</v>
      </c>
      <c r="I19" s="117">
        <f t="shared" si="0"/>
        <v>0</v>
      </c>
      <c r="J19" s="117">
        <f t="shared" si="0"/>
        <v>0</v>
      </c>
      <c r="K19" s="117">
        <f t="shared" si="0"/>
        <v>0</v>
      </c>
      <c r="L19" s="117">
        <f t="shared" si="0"/>
        <v>0</v>
      </c>
      <c r="M19" s="117">
        <f t="shared" si="0"/>
        <v>0</v>
      </c>
      <c r="N19" s="117">
        <f t="shared" si="0"/>
        <v>0</v>
      </c>
      <c r="O19" s="117">
        <f t="shared" si="0"/>
        <v>0</v>
      </c>
      <c r="P19" s="118">
        <f t="shared" si="1"/>
        <v>0</v>
      </c>
    </row>
    <row r="20" spans="1:16" x14ac:dyDescent="0.25">
      <c r="B20" s="119"/>
      <c r="C20" s="120" t="str">
        <f>Categories!$B$17</f>
        <v>Product &amp; Retail Sales</v>
      </c>
      <c r="D20" s="121">
        <f t="shared" si="0"/>
        <v>0</v>
      </c>
      <c r="E20" s="121">
        <f t="shared" si="0"/>
        <v>0</v>
      </c>
      <c r="F20" s="121">
        <f t="shared" si="0"/>
        <v>0</v>
      </c>
      <c r="G20" s="121">
        <f t="shared" si="0"/>
        <v>0</v>
      </c>
      <c r="H20" s="121">
        <f t="shared" si="0"/>
        <v>0</v>
      </c>
      <c r="I20" s="121">
        <f t="shared" si="0"/>
        <v>0</v>
      </c>
      <c r="J20" s="121">
        <f t="shared" si="0"/>
        <v>0</v>
      </c>
      <c r="K20" s="121">
        <f t="shared" si="0"/>
        <v>0</v>
      </c>
      <c r="L20" s="121">
        <f t="shared" si="0"/>
        <v>0</v>
      </c>
      <c r="M20" s="121">
        <f t="shared" si="0"/>
        <v>0</v>
      </c>
      <c r="N20" s="121">
        <f t="shared" si="0"/>
        <v>0</v>
      </c>
      <c r="O20" s="121">
        <f t="shared" si="0"/>
        <v>0</v>
      </c>
      <c r="P20" s="122">
        <f t="shared" si="1"/>
        <v>0</v>
      </c>
    </row>
    <row r="21" spans="1:16" x14ac:dyDescent="0.25">
      <c r="B21" s="115"/>
      <c r="C21" s="116" t="str">
        <f>Categories!$B$18</f>
        <v>Cosmetic / Elective Cash Services</v>
      </c>
      <c r="D21" s="117">
        <f t="shared" si="0"/>
        <v>0</v>
      </c>
      <c r="E21" s="117">
        <f t="shared" si="0"/>
        <v>0</v>
      </c>
      <c r="F21" s="117">
        <f t="shared" si="0"/>
        <v>0</v>
      </c>
      <c r="G21" s="117">
        <f t="shared" si="0"/>
        <v>0</v>
      </c>
      <c r="H21" s="117">
        <f t="shared" si="0"/>
        <v>0</v>
      </c>
      <c r="I21" s="117">
        <f t="shared" si="0"/>
        <v>0</v>
      </c>
      <c r="J21" s="117">
        <f t="shared" si="0"/>
        <v>0</v>
      </c>
      <c r="K21" s="117">
        <f t="shared" si="0"/>
        <v>0</v>
      </c>
      <c r="L21" s="117">
        <f t="shared" si="0"/>
        <v>0</v>
      </c>
      <c r="M21" s="117">
        <f t="shared" si="0"/>
        <v>0</v>
      </c>
      <c r="N21" s="117">
        <f t="shared" si="0"/>
        <v>0</v>
      </c>
      <c r="O21" s="117">
        <f t="shared" si="0"/>
        <v>0</v>
      </c>
      <c r="P21" s="118">
        <f t="shared" si="1"/>
        <v>0</v>
      </c>
    </row>
    <row r="22" spans="1:16" x14ac:dyDescent="0.25">
      <c r="B22" s="119"/>
      <c r="C22" s="120" t="str">
        <f>Categories!$B$19</f>
        <v>Grants &amp; Incentive Programs</v>
      </c>
      <c r="D22" s="121">
        <f t="shared" si="0"/>
        <v>0</v>
      </c>
      <c r="E22" s="121">
        <f t="shared" si="0"/>
        <v>0</v>
      </c>
      <c r="F22" s="121">
        <f t="shared" si="0"/>
        <v>0</v>
      </c>
      <c r="G22" s="121">
        <f t="shared" si="0"/>
        <v>0</v>
      </c>
      <c r="H22" s="121">
        <f t="shared" si="0"/>
        <v>0</v>
      </c>
      <c r="I22" s="121">
        <f t="shared" si="0"/>
        <v>0</v>
      </c>
      <c r="J22" s="121">
        <f t="shared" si="0"/>
        <v>0</v>
      </c>
      <c r="K22" s="121">
        <f t="shared" si="0"/>
        <v>0</v>
      </c>
      <c r="L22" s="121">
        <f t="shared" si="0"/>
        <v>0</v>
      </c>
      <c r="M22" s="121">
        <f t="shared" si="0"/>
        <v>0</v>
      </c>
      <c r="N22" s="121">
        <f t="shared" si="0"/>
        <v>0</v>
      </c>
      <c r="O22" s="121">
        <f t="shared" si="0"/>
        <v>0</v>
      </c>
      <c r="P22" s="122">
        <f t="shared" si="1"/>
        <v>0</v>
      </c>
    </row>
    <row r="23" spans="1:16" x14ac:dyDescent="0.25">
      <c r="B23" s="115"/>
      <c r="C23" s="116" t="str">
        <f>Categories!$B$20</f>
        <v>Patient Refunds Issued</v>
      </c>
      <c r="D23" s="117">
        <f t="shared" si="0"/>
        <v>0</v>
      </c>
      <c r="E23" s="117">
        <f t="shared" si="0"/>
        <v>0</v>
      </c>
      <c r="F23" s="117">
        <f t="shared" si="0"/>
        <v>0</v>
      </c>
      <c r="G23" s="117">
        <f t="shared" si="0"/>
        <v>0</v>
      </c>
      <c r="H23" s="117">
        <f t="shared" si="0"/>
        <v>0</v>
      </c>
      <c r="I23" s="117">
        <f t="shared" si="0"/>
        <v>0</v>
      </c>
      <c r="J23" s="117">
        <f t="shared" si="0"/>
        <v>0</v>
      </c>
      <c r="K23" s="117">
        <f t="shared" si="0"/>
        <v>0</v>
      </c>
      <c r="L23" s="117">
        <f t="shared" si="0"/>
        <v>0</v>
      </c>
      <c r="M23" s="117">
        <f t="shared" si="0"/>
        <v>0</v>
      </c>
      <c r="N23" s="117">
        <f t="shared" si="0"/>
        <v>0</v>
      </c>
      <c r="O23" s="117">
        <f t="shared" si="0"/>
        <v>0</v>
      </c>
      <c r="P23" s="118">
        <f t="shared" si="1"/>
        <v>0</v>
      </c>
    </row>
    <row r="24" spans="1:16" x14ac:dyDescent="0.25">
      <c r="B24" s="119"/>
      <c r="C24" s="120" t="str">
        <f>Categories!$B$21</f>
        <v>Other Operating Income</v>
      </c>
      <c r="D24" s="121">
        <f t="shared" si="0"/>
        <v>0</v>
      </c>
      <c r="E24" s="121">
        <f t="shared" si="0"/>
        <v>0</v>
      </c>
      <c r="F24" s="121">
        <f t="shared" si="0"/>
        <v>0</v>
      </c>
      <c r="G24" s="121">
        <f t="shared" si="0"/>
        <v>0</v>
      </c>
      <c r="H24" s="121">
        <f t="shared" si="0"/>
        <v>0</v>
      </c>
      <c r="I24" s="121">
        <f t="shared" si="0"/>
        <v>0</v>
      </c>
      <c r="J24" s="121">
        <f t="shared" si="0"/>
        <v>0</v>
      </c>
      <c r="K24" s="121">
        <f t="shared" si="0"/>
        <v>0</v>
      </c>
      <c r="L24" s="121">
        <f t="shared" si="0"/>
        <v>0</v>
      </c>
      <c r="M24" s="121">
        <f t="shared" si="0"/>
        <v>0</v>
      </c>
      <c r="N24" s="121">
        <f t="shared" si="0"/>
        <v>0</v>
      </c>
      <c r="O24" s="121">
        <f t="shared" si="0"/>
        <v>0</v>
      </c>
      <c r="P24" s="122">
        <f t="shared" si="1"/>
        <v>0</v>
      </c>
    </row>
    <row r="25" spans="1:16" x14ac:dyDescent="0.25">
      <c r="B25" s="119"/>
      <c r="C25" s="120" t="s">
        <v>450</v>
      </c>
      <c r="D25" s="121">
        <f>ROUND(SUMIFS('7. Settlements'!$N$8:$N$107,'7. Settlements'!$C$8:$C$107,"&gt;="&amp;D$9,'7. Settlements'!$C$8:$C$107,"&lt;="&amp;EOMONTH(D$9,0)),2)</f>
        <v>0</v>
      </c>
      <c r="E25" s="121">
        <f>ROUND(SUMIFS('7. Settlements'!$N$8:$N$107,'7. Settlements'!$C$8:$C$107,"&gt;="&amp;E$9,'7. Settlements'!$C$8:$C$107,"&lt;="&amp;EOMONTH(E$9,0)),2)</f>
        <v>0</v>
      </c>
      <c r="F25" s="121">
        <f>ROUND(SUMIFS('7. Settlements'!$N$8:$N$107,'7. Settlements'!$C$8:$C$107,"&gt;="&amp;F$9,'7. Settlements'!$C$8:$C$107,"&lt;="&amp;EOMONTH(F$9,0)),2)</f>
        <v>0</v>
      </c>
      <c r="G25" s="121">
        <f>ROUND(SUMIFS('7. Settlements'!$N$8:$N$107,'7. Settlements'!$C$8:$C$107,"&gt;="&amp;G$9,'7. Settlements'!$C$8:$C$107,"&lt;="&amp;EOMONTH(G$9,0)),2)</f>
        <v>0</v>
      </c>
      <c r="H25" s="121">
        <f>ROUND(SUMIFS('7. Settlements'!$N$8:$N$107,'7. Settlements'!$C$8:$C$107,"&gt;="&amp;H$9,'7. Settlements'!$C$8:$C$107,"&lt;="&amp;EOMONTH(H$9,0)),2)</f>
        <v>0</v>
      </c>
      <c r="I25" s="121">
        <f>ROUND(SUMIFS('7. Settlements'!$N$8:$N$107,'7. Settlements'!$C$8:$C$107,"&gt;="&amp;I$9,'7. Settlements'!$C$8:$C$107,"&lt;="&amp;EOMONTH(I$9,0)),2)</f>
        <v>0</v>
      </c>
      <c r="J25" s="121">
        <f>ROUND(SUMIFS('7. Settlements'!$N$8:$N$107,'7. Settlements'!$C$8:$C$107,"&gt;="&amp;J$9,'7. Settlements'!$C$8:$C$107,"&lt;="&amp;EOMONTH(J$9,0)),2)</f>
        <v>0</v>
      </c>
      <c r="K25" s="121">
        <f>ROUND(SUMIFS('7. Settlements'!$N$8:$N$107,'7. Settlements'!$C$8:$C$107,"&gt;="&amp;K$9,'7. Settlements'!$C$8:$C$107,"&lt;="&amp;EOMONTH(K$9,0)),2)</f>
        <v>0</v>
      </c>
      <c r="L25" s="121">
        <f>ROUND(SUMIFS('7. Settlements'!$N$8:$N$107,'7. Settlements'!$C$8:$C$107,"&gt;="&amp;L$9,'7. Settlements'!$C$8:$C$107,"&lt;="&amp;EOMONTH(L$9,0)),2)</f>
        <v>0</v>
      </c>
      <c r="M25" s="121">
        <f>ROUND(SUMIFS('7. Settlements'!$N$8:$N$107,'7. Settlements'!$C$8:$C$107,"&gt;="&amp;M$9,'7. Settlements'!$C$8:$C$107,"&lt;="&amp;EOMONTH(M$9,0)),2)</f>
        <v>0</v>
      </c>
      <c r="N25" s="121">
        <f>ROUND(SUMIFS('7. Settlements'!$N$8:$N$107,'7. Settlements'!$C$8:$C$107,"&gt;="&amp;N$9,'7. Settlements'!$C$8:$C$107,"&lt;="&amp;EOMONTH(N$9,0)),2)</f>
        <v>0</v>
      </c>
      <c r="O25" s="121">
        <f>ROUND(SUMIFS('7. Settlements'!$N$8:$N$107,'7. Settlements'!$C$8:$C$107,"&gt;="&amp;O$9,'7. Settlements'!$C$8:$C$107,"&lt;="&amp;EOMONTH(O$9,0)),2)</f>
        <v>0</v>
      </c>
      <c r="P25" s="122">
        <f>ROUND(SUMIFS('7. Settlements'!$N$8:$N$107,'7. Settlements'!$C$8:$C$107,"&gt;="&amp;Yr_Start,'7. Settlements'!$C$8:$C$107,"&lt;="&amp;Yr_End),2)</f>
        <v>0</v>
      </c>
    </row>
    <row r="26" spans="1:16" x14ac:dyDescent="0.25">
      <c r="B26" s="123"/>
      <c r="C26" s="112" t="s">
        <v>341</v>
      </c>
      <c r="D26" s="124">
        <f t="shared" ref="D26:P26" si="2">ROUND(D11+D12+D13+D14+D15+D16+D17+D18+D19+D20+D21+D22+D23+D24+D25,2)</f>
        <v>0</v>
      </c>
      <c r="E26" s="124">
        <f t="shared" si="2"/>
        <v>0</v>
      </c>
      <c r="F26" s="124">
        <f t="shared" si="2"/>
        <v>0</v>
      </c>
      <c r="G26" s="124">
        <f t="shared" si="2"/>
        <v>0</v>
      </c>
      <c r="H26" s="124">
        <f t="shared" si="2"/>
        <v>0</v>
      </c>
      <c r="I26" s="124">
        <f t="shared" si="2"/>
        <v>0</v>
      </c>
      <c r="J26" s="124">
        <f t="shared" si="2"/>
        <v>0</v>
      </c>
      <c r="K26" s="124">
        <f t="shared" si="2"/>
        <v>0</v>
      </c>
      <c r="L26" s="124">
        <f t="shared" si="2"/>
        <v>0</v>
      </c>
      <c r="M26" s="124">
        <f t="shared" si="2"/>
        <v>0</v>
      </c>
      <c r="N26" s="124">
        <f t="shared" si="2"/>
        <v>0</v>
      </c>
      <c r="O26" s="124">
        <f t="shared" si="2"/>
        <v>0</v>
      </c>
      <c r="P26" s="125">
        <f t="shared" si="2"/>
        <v>0</v>
      </c>
    </row>
    <row r="27" spans="1:16" ht="8.1" customHeight="1" x14ac:dyDescent="0.25"/>
    <row r="28" spans="1:16" ht="20.100000000000001" customHeight="1" x14ac:dyDescent="0.25">
      <c r="A28" s="178" t="s">
        <v>451</v>
      </c>
      <c r="B28" s="173"/>
      <c r="C28" s="173"/>
      <c r="D28" s="173"/>
      <c r="E28" s="173"/>
      <c r="F28" s="173"/>
      <c r="G28" s="173"/>
      <c r="H28" s="173"/>
      <c r="I28" s="173"/>
      <c r="J28" s="173"/>
      <c r="K28" s="173"/>
      <c r="L28" s="173"/>
      <c r="M28" s="173"/>
      <c r="N28" s="173"/>
      <c r="O28" s="173"/>
      <c r="P28" s="173"/>
    </row>
    <row r="29" spans="1:16" x14ac:dyDescent="0.25">
      <c r="B29" s="123" t="str">
        <f>IF(OR('2. Setup'!$C$9="",'2. Setup'!$C$9="Not sure - ask my accountant"),"TAX CLASSIFICATION NOT SET",IF(OR('2. Setup'!$C$9="Sole Proprietor",'2. Setup'!$C$9="Single-Member LLC (disregarded)"),"8",IF('2. Setup'!$C$9="S-Corporation","16",IF('2. Setup'!$C$9="Partnership / Multi-Member LLC","1065 NOT MAPPED","1120 NOT MAPPED"))))</f>
        <v>TAX CLASSIFICATION NOT SET</v>
      </c>
      <c r="C29" s="112" t="str">
        <f>IF(OR('2. Setup'!$C$9="",'2. Setup'!$C$9="Not sure - ask my accountant"),"Grouped as Schedule C line 8",IF(OR('2. Setup'!$C$9="Sole Proprietor",'2. Setup'!$C$9="Single-Member LLC (disregarded)"),IFERROR(IF(INDEX(SCL_Pilot,MATCH("8",SCL_Line,0))="approved_for_pilot",INDEX(SCL_Caption,MATCH("8",SCL_Line,0)),"Schedule C line 8 - CAPTION PENDING APPROVAL"),"Schedule C line 8 - NO CAPTION ON THE TAX RULES SHEET"),IF('2. Setup'!$C$9="S-Corporation",IFERROR(IF(INDEX(S1120_Pilot,MATCH("16",S1120_Line,0))="approved_for_pilot",INDEX(S1120_Caption,MATCH("16",S1120_Line,0)),"Form 1120-S line 16 - CAPTION PENDING APPROVAL"),"Form 1120-S line 16 - NO CAPTION ON THE TAX RULES SHEET"),"Grouped as Schedule C line 8")))</f>
        <v>Grouped as Schedule C line 8</v>
      </c>
      <c r="D29" s="124">
        <f t="shared" ref="D29:P29" si="3">ROUND(SUM(D30:D32),2)</f>
        <v>0</v>
      </c>
      <c r="E29" s="124">
        <f t="shared" si="3"/>
        <v>0</v>
      </c>
      <c r="F29" s="124">
        <f t="shared" si="3"/>
        <v>0</v>
      </c>
      <c r="G29" s="124">
        <f t="shared" si="3"/>
        <v>0</v>
      </c>
      <c r="H29" s="124">
        <f t="shared" si="3"/>
        <v>0</v>
      </c>
      <c r="I29" s="124">
        <f t="shared" si="3"/>
        <v>0</v>
      </c>
      <c r="J29" s="124">
        <f t="shared" si="3"/>
        <v>0</v>
      </c>
      <c r="K29" s="124">
        <f t="shared" si="3"/>
        <v>0</v>
      </c>
      <c r="L29" s="124">
        <f t="shared" si="3"/>
        <v>0</v>
      </c>
      <c r="M29" s="124">
        <f t="shared" si="3"/>
        <v>0</v>
      </c>
      <c r="N29" s="124">
        <f t="shared" si="3"/>
        <v>0</v>
      </c>
      <c r="O29" s="124">
        <f t="shared" si="3"/>
        <v>0</v>
      </c>
      <c r="P29" s="125">
        <f t="shared" si="3"/>
        <v>0</v>
      </c>
    </row>
    <row r="30" spans="1:16" x14ac:dyDescent="0.25">
      <c r="B30" s="119"/>
      <c r="C30" s="120" t="str">
        <f>Categories!$B$70</f>
        <v>Marketing &amp; Advertising</v>
      </c>
      <c r="D30" s="121">
        <f t="shared" ref="D30:O32" si="4">ROUND(SUMIFS(Txn_Ded,Txn_Cat,$C30,Txn_Date,"&gt;="&amp;D$9,Txn_Date,"&lt;="&amp;EOMONTH(D$9,0)),2)</f>
        <v>0</v>
      </c>
      <c r="E30" s="121">
        <f t="shared" si="4"/>
        <v>0</v>
      </c>
      <c r="F30" s="121">
        <f t="shared" si="4"/>
        <v>0</v>
      </c>
      <c r="G30" s="121">
        <f t="shared" si="4"/>
        <v>0</v>
      </c>
      <c r="H30" s="121">
        <f t="shared" si="4"/>
        <v>0</v>
      </c>
      <c r="I30" s="121">
        <f t="shared" si="4"/>
        <v>0</v>
      </c>
      <c r="J30" s="121">
        <f t="shared" si="4"/>
        <v>0</v>
      </c>
      <c r="K30" s="121">
        <f t="shared" si="4"/>
        <v>0</v>
      </c>
      <c r="L30" s="121">
        <f t="shared" si="4"/>
        <v>0</v>
      </c>
      <c r="M30" s="121">
        <f t="shared" si="4"/>
        <v>0</v>
      </c>
      <c r="N30" s="121">
        <f t="shared" si="4"/>
        <v>0</v>
      </c>
      <c r="O30" s="121">
        <f t="shared" si="4"/>
        <v>0</v>
      </c>
      <c r="P30" s="122">
        <f>ROUND(SUMIFS(Txn_Ded,Txn_Cat,$C30,Txn_Date,"&gt;="&amp;Yr_Start,Txn_Date,"&lt;="&amp;Yr_End),2)</f>
        <v>0</v>
      </c>
    </row>
    <row r="31" spans="1:16" x14ac:dyDescent="0.25">
      <c r="B31" s="115"/>
      <c r="C31" s="116" t="str">
        <f>Categories!$B$71</f>
        <v>Website &amp; Hosting</v>
      </c>
      <c r="D31" s="117">
        <f t="shared" si="4"/>
        <v>0</v>
      </c>
      <c r="E31" s="117">
        <f t="shared" si="4"/>
        <v>0</v>
      </c>
      <c r="F31" s="117">
        <f t="shared" si="4"/>
        <v>0</v>
      </c>
      <c r="G31" s="117">
        <f t="shared" si="4"/>
        <v>0</v>
      </c>
      <c r="H31" s="117">
        <f t="shared" si="4"/>
        <v>0</v>
      </c>
      <c r="I31" s="117">
        <f t="shared" si="4"/>
        <v>0</v>
      </c>
      <c r="J31" s="117">
        <f t="shared" si="4"/>
        <v>0</v>
      </c>
      <c r="K31" s="117">
        <f t="shared" si="4"/>
        <v>0</v>
      </c>
      <c r="L31" s="117">
        <f t="shared" si="4"/>
        <v>0</v>
      </c>
      <c r="M31" s="117">
        <f t="shared" si="4"/>
        <v>0</v>
      </c>
      <c r="N31" s="117">
        <f t="shared" si="4"/>
        <v>0</v>
      </c>
      <c r="O31" s="117">
        <f t="shared" si="4"/>
        <v>0</v>
      </c>
      <c r="P31" s="118">
        <f>ROUND(SUMIFS(Txn_Ded,Txn_Cat,$C31,Txn_Date,"&gt;="&amp;Yr_Start,Txn_Date,"&lt;="&amp;Yr_End),2)</f>
        <v>0</v>
      </c>
    </row>
    <row r="32" spans="1:16" x14ac:dyDescent="0.25">
      <c r="B32" s="119"/>
      <c r="C32" s="120" t="str">
        <f>Categories!$B$72</f>
        <v>Patient Communications &amp; Reviews</v>
      </c>
      <c r="D32" s="121">
        <f t="shared" si="4"/>
        <v>0</v>
      </c>
      <c r="E32" s="121">
        <f t="shared" si="4"/>
        <v>0</v>
      </c>
      <c r="F32" s="121">
        <f t="shared" si="4"/>
        <v>0</v>
      </c>
      <c r="G32" s="121">
        <f t="shared" si="4"/>
        <v>0</v>
      </c>
      <c r="H32" s="121">
        <f t="shared" si="4"/>
        <v>0</v>
      </c>
      <c r="I32" s="121">
        <f t="shared" si="4"/>
        <v>0</v>
      </c>
      <c r="J32" s="121">
        <f t="shared" si="4"/>
        <v>0</v>
      </c>
      <c r="K32" s="121">
        <f t="shared" si="4"/>
        <v>0</v>
      </c>
      <c r="L32" s="121">
        <f t="shared" si="4"/>
        <v>0</v>
      </c>
      <c r="M32" s="121">
        <f t="shared" si="4"/>
        <v>0</v>
      </c>
      <c r="N32" s="121">
        <f t="shared" si="4"/>
        <v>0</v>
      </c>
      <c r="O32" s="121">
        <f t="shared" si="4"/>
        <v>0</v>
      </c>
      <c r="P32" s="122">
        <f>ROUND(SUMIFS(Txn_Ded,Txn_Cat,$C32,Txn_Date,"&gt;="&amp;Yr_Start,Txn_Date,"&lt;="&amp;Yr_End),2)</f>
        <v>0</v>
      </c>
    </row>
    <row r="33" spans="2:16" ht="8.1" customHeight="1" x14ac:dyDescent="0.25"/>
    <row r="34" spans="2:16" ht="33.75" x14ac:dyDescent="0.25">
      <c r="B34" s="123" t="str">
        <f>IF(OR('2. Setup'!$C$9="",'2. Setup'!$C$9="Not sure - ask my accountant"),"TAX CLASSIFICATION NOT SET",IF(OR('2. Setup'!$C$9="Sole Proprietor",'2. Setup'!$C$9="Single-Member LLC (disregarded)"),"15",IF('2. Setup'!$C$9="S-Corporation","20",IF('2. Setup'!$C$9="Partnership / Multi-Member LLC","1065 NOT MAPPED","1120 NOT MAPPED"))))</f>
        <v>TAX CLASSIFICATION NOT SET</v>
      </c>
      <c r="C34" s="112" t="str">
        <f>IF(OR('2. Setup'!$C$9="",'2. Setup'!$C$9="Not sure - ask my accountant"),"Grouped as Schedule C line 15",IF(OR('2. Setup'!$C$9="Sole Proprietor",'2. Setup'!$C$9="Single-Member LLC (disregarded)"),IFERROR(IF(INDEX(SCL_Pilot,MATCH("15",SCL_Line,0))="approved_for_pilot",INDEX(SCL_Caption,MATCH("15",SCL_Line,0)),"Schedule C line 15 - CAPTION PENDING APPROVAL"),"Schedule C line 15 - NO CAPTION ON THE TAX RULES SHEET"),IF('2. Setup'!$C$9="S-Corporation",IFERROR(IF(INDEX(S1120_Pilot,MATCH("20",S1120_Line,0))="approved_for_pilot",INDEX(S1120_Caption,MATCH("20",S1120_Line,0)),"Form 1120-S line 20 - CAPTION PENDING APPROVAL"),"Form 1120-S line 20 - NO CAPTION ON THE TAX RULES SHEET"),"Grouped as Schedule C line 15")))</f>
        <v>Grouped as Schedule C line 15</v>
      </c>
      <c r="D34" s="124">
        <f t="shared" ref="D34:P34" si="5">ROUND(SUM(D35:D37),2)</f>
        <v>0</v>
      </c>
      <c r="E34" s="124">
        <f t="shared" si="5"/>
        <v>0</v>
      </c>
      <c r="F34" s="124">
        <f t="shared" si="5"/>
        <v>0</v>
      </c>
      <c r="G34" s="124">
        <f t="shared" si="5"/>
        <v>0</v>
      </c>
      <c r="H34" s="124">
        <f t="shared" si="5"/>
        <v>0</v>
      </c>
      <c r="I34" s="124">
        <f t="shared" si="5"/>
        <v>0</v>
      </c>
      <c r="J34" s="124">
        <f t="shared" si="5"/>
        <v>0</v>
      </c>
      <c r="K34" s="124">
        <f t="shared" si="5"/>
        <v>0</v>
      </c>
      <c r="L34" s="124">
        <f t="shared" si="5"/>
        <v>0</v>
      </c>
      <c r="M34" s="124">
        <f t="shared" si="5"/>
        <v>0</v>
      </c>
      <c r="N34" s="124">
        <f t="shared" si="5"/>
        <v>0</v>
      </c>
      <c r="O34" s="124">
        <f t="shared" si="5"/>
        <v>0</v>
      </c>
      <c r="P34" s="125">
        <f t="shared" si="5"/>
        <v>0</v>
      </c>
    </row>
    <row r="35" spans="2:16" x14ac:dyDescent="0.25">
      <c r="B35" s="115"/>
      <c r="C35" s="116" t="str">
        <f>Categories!$B$58</f>
        <v>Malpractice Insurance</v>
      </c>
      <c r="D35" s="117">
        <f t="shared" ref="D35:O37" si="6">ROUND(SUMIFS(Txn_Ded,Txn_Cat,$C35,Txn_Date,"&gt;="&amp;D$9,Txn_Date,"&lt;="&amp;EOMONTH(D$9,0)),2)</f>
        <v>0</v>
      </c>
      <c r="E35" s="117">
        <f t="shared" si="6"/>
        <v>0</v>
      </c>
      <c r="F35" s="117">
        <f t="shared" si="6"/>
        <v>0</v>
      </c>
      <c r="G35" s="117">
        <f t="shared" si="6"/>
        <v>0</v>
      </c>
      <c r="H35" s="117">
        <f t="shared" si="6"/>
        <v>0</v>
      </c>
      <c r="I35" s="117">
        <f t="shared" si="6"/>
        <v>0</v>
      </c>
      <c r="J35" s="117">
        <f t="shared" si="6"/>
        <v>0</v>
      </c>
      <c r="K35" s="117">
        <f t="shared" si="6"/>
        <v>0</v>
      </c>
      <c r="L35" s="117">
        <f t="shared" si="6"/>
        <v>0</v>
      </c>
      <c r="M35" s="117">
        <f t="shared" si="6"/>
        <v>0</v>
      </c>
      <c r="N35" s="117">
        <f t="shared" si="6"/>
        <v>0</v>
      </c>
      <c r="O35" s="117">
        <f t="shared" si="6"/>
        <v>0</v>
      </c>
      <c r="P35" s="118">
        <f>ROUND(SUMIFS(Txn_Ded,Txn_Cat,$C35,Txn_Date,"&gt;="&amp;Yr_Start,Txn_Date,"&lt;="&amp;Yr_End),2)</f>
        <v>0</v>
      </c>
    </row>
    <row r="36" spans="2:16" x14ac:dyDescent="0.25">
      <c r="B36" s="119"/>
      <c r="C36" s="120" t="str">
        <f>Categories!$B$59</f>
        <v>Business Insurance (General / Property / Cyber)</v>
      </c>
      <c r="D36" s="121">
        <f t="shared" si="6"/>
        <v>0</v>
      </c>
      <c r="E36" s="121">
        <f t="shared" si="6"/>
        <v>0</v>
      </c>
      <c r="F36" s="121">
        <f t="shared" si="6"/>
        <v>0</v>
      </c>
      <c r="G36" s="121">
        <f t="shared" si="6"/>
        <v>0</v>
      </c>
      <c r="H36" s="121">
        <f t="shared" si="6"/>
        <v>0</v>
      </c>
      <c r="I36" s="121">
        <f t="shared" si="6"/>
        <v>0</v>
      </c>
      <c r="J36" s="121">
        <f t="shared" si="6"/>
        <v>0</v>
      </c>
      <c r="K36" s="121">
        <f t="shared" si="6"/>
        <v>0</v>
      </c>
      <c r="L36" s="121">
        <f t="shared" si="6"/>
        <v>0</v>
      </c>
      <c r="M36" s="121">
        <f t="shared" si="6"/>
        <v>0</v>
      </c>
      <c r="N36" s="121">
        <f t="shared" si="6"/>
        <v>0</v>
      </c>
      <c r="O36" s="121">
        <f t="shared" si="6"/>
        <v>0</v>
      </c>
      <c r="P36" s="122">
        <f>ROUND(SUMIFS(Txn_Ded,Txn_Cat,$C36,Txn_Date,"&gt;="&amp;Yr_Start,Txn_Date,"&lt;="&amp;Yr_End),2)</f>
        <v>0</v>
      </c>
    </row>
    <row r="37" spans="2:16" x14ac:dyDescent="0.25">
      <c r="B37" s="115"/>
      <c r="C37" s="116" t="str">
        <f>Categories!$B$60</f>
        <v>Workers' Compensation Insurance</v>
      </c>
      <c r="D37" s="117">
        <f t="shared" si="6"/>
        <v>0</v>
      </c>
      <c r="E37" s="117">
        <f t="shared" si="6"/>
        <v>0</v>
      </c>
      <c r="F37" s="117">
        <f t="shared" si="6"/>
        <v>0</v>
      </c>
      <c r="G37" s="117">
        <f t="shared" si="6"/>
        <v>0</v>
      </c>
      <c r="H37" s="117">
        <f t="shared" si="6"/>
        <v>0</v>
      </c>
      <c r="I37" s="117">
        <f t="shared" si="6"/>
        <v>0</v>
      </c>
      <c r="J37" s="117">
        <f t="shared" si="6"/>
        <v>0</v>
      </c>
      <c r="K37" s="117">
        <f t="shared" si="6"/>
        <v>0</v>
      </c>
      <c r="L37" s="117">
        <f t="shared" si="6"/>
        <v>0</v>
      </c>
      <c r="M37" s="117">
        <f t="shared" si="6"/>
        <v>0</v>
      </c>
      <c r="N37" s="117">
        <f t="shared" si="6"/>
        <v>0</v>
      </c>
      <c r="O37" s="117">
        <f t="shared" si="6"/>
        <v>0</v>
      </c>
      <c r="P37" s="118">
        <f>ROUND(SUMIFS(Txn_Ded,Txn_Cat,$C37,Txn_Date,"&gt;="&amp;Yr_Start,Txn_Date,"&lt;="&amp;Yr_End),2)</f>
        <v>0</v>
      </c>
    </row>
    <row r="38" spans="2:16" ht="8.1" customHeight="1" x14ac:dyDescent="0.25"/>
    <row r="39" spans="2:16" ht="33.75" x14ac:dyDescent="0.25">
      <c r="B39" s="123" t="str">
        <f>IF(OR('2. Setup'!$C$9="",'2. Setup'!$C$9="Not sure - ask my accountant"),"TAX CLASSIFICATION NOT SET",IF(OR('2. Setup'!$C$9="Sole Proprietor",'2. Setup'!$C$9="Single-Member LLC (disregarded)"),"16b",IF('2. Setup'!$C$9="S-Corporation","13",IF('2. Setup'!$C$9="Partnership / Multi-Member LLC","1065 NOT MAPPED","1120 NOT MAPPED"))))</f>
        <v>TAX CLASSIFICATION NOT SET</v>
      </c>
      <c r="C39" s="112" t="str">
        <f>IF(OR('2. Setup'!$C$9="",'2. Setup'!$C$9="Not sure - ask my accountant"),"Grouped as Schedule C line 16b",IF(OR('2. Setup'!$C$9="Sole Proprietor",'2. Setup'!$C$9="Single-Member LLC (disregarded)"),IFERROR(IF(INDEX(SCL_Pilot,MATCH("16b",SCL_Line,0))="approved_for_pilot",INDEX(SCL_Caption,MATCH("16b",SCL_Line,0)),"Schedule C line 16b - CAPTION PENDING APPROVAL"),"Schedule C line 16b - NO CAPTION ON THE TAX RULES SHEET"),IF('2. Setup'!$C$9="S-Corporation",IFERROR(IF(INDEX(S1120_Pilot,MATCH("13",S1120_Line,0))="approved_for_pilot",INDEX(S1120_Caption,MATCH("13",S1120_Line,0)),"Form 1120-S line 13 - CAPTION PENDING APPROVAL"),"Form 1120-S line 13 - NO CAPTION ON THE TAX RULES SHEET"),"Grouped as Schedule C line 16b")))</f>
        <v>Grouped as Schedule C line 16b</v>
      </c>
      <c r="D39" s="124">
        <f t="shared" ref="D39:P39" si="7">ROUND(SUM(D40:D41),2)</f>
        <v>0</v>
      </c>
      <c r="E39" s="124">
        <f t="shared" si="7"/>
        <v>0</v>
      </c>
      <c r="F39" s="124">
        <f t="shared" si="7"/>
        <v>0</v>
      </c>
      <c r="G39" s="124">
        <f t="shared" si="7"/>
        <v>0</v>
      </c>
      <c r="H39" s="124">
        <f t="shared" si="7"/>
        <v>0</v>
      </c>
      <c r="I39" s="124">
        <f t="shared" si="7"/>
        <v>0</v>
      </c>
      <c r="J39" s="124">
        <f t="shared" si="7"/>
        <v>0</v>
      </c>
      <c r="K39" s="124">
        <f t="shared" si="7"/>
        <v>0</v>
      </c>
      <c r="L39" s="124">
        <f t="shared" si="7"/>
        <v>0</v>
      </c>
      <c r="M39" s="124">
        <f t="shared" si="7"/>
        <v>0</v>
      </c>
      <c r="N39" s="124">
        <f t="shared" si="7"/>
        <v>0</v>
      </c>
      <c r="O39" s="124">
        <f t="shared" si="7"/>
        <v>0</v>
      </c>
      <c r="P39" s="125">
        <f t="shared" si="7"/>
        <v>0</v>
      </c>
    </row>
    <row r="40" spans="2:16" x14ac:dyDescent="0.25">
      <c r="B40" s="119"/>
      <c r="C40" s="120" t="str">
        <f>Categories!$B$79</f>
        <v>Interest - Business Loans</v>
      </c>
      <c r="D40" s="121">
        <f t="shared" ref="D40:O41" si="8">ROUND(SUMIFS(Txn_Ded,Txn_Cat,$C40,Txn_Date,"&gt;="&amp;D$9,Txn_Date,"&lt;="&amp;EOMONTH(D$9,0)),2)</f>
        <v>0</v>
      </c>
      <c r="E40" s="121">
        <f t="shared" si="8"/>
        <v>0</v>
      </c>
      <c r="F40" s="121">
        <f t="shared" si="8"/>
        <v>0</v>
      </c>
      <c r="G40" s="121">
        <f t="shared" si="8"/>
        <v>0</v>
      </c>
      <c r="H40" s="121">
        <f t="shared" si="8"/>
        <v>0</v>
      </c>
      <c r="I40" s="121">
        <f t="shared" si="8"/>
        <v>0</v>
      </c>
      <c r="J40" s="121">
        <f t="shared" si="8"/>
        <v>0</v>
      </c>
      <c r="K40" s="121">
        <f t="shared" si="8"/>
        <v>0</v>
      </c>
      <c r="L40" s="121">
        <f t="shared" si="8"/>
        <v>0</v>
      </c>
      <c r="M40" s="121">
        <f t="shared" si="8"/>
        <v>0</v>
      </c>
      <c r="N40" s="121">
        <f t="shared" si="8"/>
        <v>0</v>
      </c>
      <c r="O40" s="121">
        <f t="shared" si="8"/>
        <v>0</v>
      </c>
      <c r="P40" s="122">
        <f>ROUND(SUMIFS(Txn_Ded,Txn_Cat,$C40,Txn_Date,"&gt;="&amp;Yr_Start,Txn_Date,"&lt;="&amp;Yr_End),2)</f>
        <v>0</v>
      </c>
    </row>
    <row r="41" spans="2:16" x14ac:dyDescent="0.25">
      <c r="B41" s="115"/>
      <c r="C41" s="116" t="str">
        <f>Categories!$B$80</f>
        <v>Interest - Business Credit Cards</v>
      </c>
      <c r="D41" s="117">
        <f t="shared" si="8"/>
        <v>0</v>
      </c>
      <c r="E41" s="117">
        <f t="shared" si="8"/>
        <v>0</v>
      </c>
      <c r="F41" s="117">
        <f t="shared" si="8"/>
        <v>0</v>
      </c>
      <c r="G41" s="117">
        <f t="shared" si="8"/>
        <v>0</v>
      </c>
      <c r="H41" s="117">
        <f t="shared" si="8"/>
        <v>0</v>
      </c>
      <c r="I41" s="117">
        <f t="shared" si="8"/>
        <v>0</v>
      </c>
      <c r="J41" s="117">
        <f t="shared" si="8"/>
        <v>0</v>
      </c>
      <c r="K41" s="117">
        <f t="shared" si="8"/>
        <v>0</v>
      </c>
      <c r="L41" s="117">
        <f t="shared" si="8"/>
        <v>0</v>
      </c>
      <c r="M41" s="117">
        <f t="shared" si="8"/>
        <v>0</v>
      </c>
      <c r="N41" s="117">
        <f t="shared" si="8"/>
        <v>0</v>
      </c>
      <c r="O41" s="117">
        <f t="shared" si="8"/>
        <v>0</v>
      </c>
      <c r="P41" s="118">
        <f>ROUND(SUMIFS(Txn_Ded,Txn_Cat,$C41,Txn_Date,"&gt;="&amp;Yr_Start,Txn_Date,"&lt;="&amp;Yr_End),2)</f>
        <v>0</v>
      </c>
    </row>
    <row r="42" spans="2:16" ht="8.1" customHeight="1" x14ac:dyDescent="0.25"/>
    <row r="43" spans="2:16" ht="33.75" x14ac:dyDescent="0.25">
      <c r="B43" s="123" t="str">
        <f>IF(OR('2. Setup'!$C$9="",'2. Setup'!$C$9="Not sure - ask my accountant"),"TAX CLASSIFICATION NOT SET",IF(OR('2. Setup'!$C$9="Sole Proprietor",'2. Setup'!$C$9="Single-Member LLC (disregarded)"),"17",IF('2. Setup'!$C$9="S-Corporation","20",IF('2. Setup'!$C$9="Partnership / Multi-Member LLC","1065 NOT MAPPED","1120 NOT MAPPED"))))</f>
        <v>TAX CLASSIFICATION NOT SET</v>
      </c>
      <c r="C43" s="112" t="str">
        <f>IF(OR('2. Setup'!$C$9="",'2. Setup'!$C$9="Not sure - ask my accountant"),"Grouped as Schedule C line 17",IF(OR('2. Setup'!$C$9="Sole Proprietor",'2. Setup'!$C$9="Single-Member LLC (disregarded)"),IFERROR(IF(INDEX(SCL_Pilot,MATCH("17",SCL_Line,0))="approved_for_pilot",INDEX(SCL_Caption,MATCH("17",SCL_Line,0)),"Schedule C line 17 - CAPTION PENDING APPROVAL"),"Schedule C line 17 - NO CAPTION ON THE TAX RULES SHEET"),IF('2. Setup'!$C$9="S-Corporation",IFERROR(IF(INDEX(S1120_Pilot,MATCH("20",S1120_Line,0))="approved_for_pilot",INDEX(S1120_Caption,MATCH("20",S1120_Line,0)),"Form 1120-S line 20 - CAPTION PENDING APPROVAL"),"Form 1120-S line 20 - NO CAPTION ON THE TAX RULES SHEET"),"Grouped as Schedule C line 17")))</f>
        <v>Grouped as Schedule C line 17</v>
      </c>
      <c r="D43" s="124">
        <f t="shared" ref="D43:P43" si="9">ROUND(SUM(D44:D46),2)</f>
        <v>0</v>
      </c>
      <c r="E43" s="124">
        <f t="shared" si="9"/>
        <v>0</v>
      </c>
      <c r="F43" s="124">
        <f t="shared" si="9"/>
        <v>0</v>
      </c>
      <c r="G43" s="124">
        <f t="shared" si="9"/>
        <v>0</v>
      </c>
      <c r="H43" s="124">
        <f t="shared" si="9"/>
        <v>0</v>
      </c>
      <c r="I43" s="124">
        <f t="shared" si="9"/>
        <v>0</v>
      </c>
      <c r="J43" s="124">
        <f t="shared" si="9"/>
        <v>0</v>
      </c>
      <c r="K43" s="124">
        <f t="shared" si="9"/>
        <v>0</v>
      </c>
      <c r="L43" s="124">
        <f t="shared" si="9"/>
        <v>0</v>
      </c>
      <c r="M43" s="124">
        <f t="shared" si="9"/>
        <v>0</v>
      </c>
      <c r="N43" s="124">
        <f t="shared" si="9"/>
        <v>0</v>
      </c>
      <c r="O43" s="124">
        <f t="shared" si="9"/>
        <v>0</v>
      </c>
      <c r="P43" s="125">
        <f t="shared" si="9"/>
        <v>0</v>
      </c>
    </row>
    <row r="44" spans="2:16" x14ac:dyDescent="0.25">
      <c r="B44" s="119"/>
      <c r="C44" s="120" t="str">
        <f>Categories!$B$52</f>
        <v>Payroll Service Fees</v>
      </c>
      <c r="D44" s="121">
        <f t="shared" ref="D44:O46" si="10">ROUND(SUMIFS(Txn_Ded,Txn_Cat,$C44,Txn_Date,"&gt;="&amp;D$9,Txn_Date,"&lt;="&amp;EOMONTH(D$9,0)),2)</f>
        <v>0</v>
      </c>
      <c r="E44" s="121">
        <f t="shared" si="10"/>
        <v>0</v>
      </c>
      <c r="F44" s="121">
        <f t="shared" si="10"/>
        <v>0</v>
      </c>
      <c r="G44" s="121">
        <f t="shared" si="10"/>
        <v>0</v>
      </c>
      <c r="H44" s="121">
        <f t="shared" si="10"/>
        <v>0</v>
      </c>
      <c r="I44" s="121">
        <f t="shared" si="10"/>
        <v>0</v>
      </c>
      <c r="J44" s="121">
        <f t="shared" si="10"/>
        <v>0</v>
      </c>
      <c r="K44" s="121">
        <f t="shared" si="10"/>
        <v>0</v>
      </c>
      <c r="L44" s="121">
        <f t="shared" si="10"/>
        <v>0</v>
      </c>
      <c r="M44" s="121">
        <f t="shared" si="10"/>
        <v>0</v>
      </c>
      <c r="N44" s="121">
        <f t="shared" si="10"/>
        <v>0</v>
      </c>
      <c r="O44" s="121">
        <f t="shared" si="10"/>
        <v>0</v>
      </c>
      <c r="P44" s="122">
        <f>ROUND(SUMIFS(Txn_Ded,Txn_Cat,$C44,Txn_Date,"&gt;="&amp;Yr_Start,Txn_Date,"&lt;="&amp;Yr_End),2)</f>
        <v>0</v>
      </c>
    </row>
    <row r="45" spans="2:16" x14ac:dyDescent="0.25">
      <c r="B45" s="115"/>
      <c r="C45" s="116" t="str">
        <f>Categories!$B$68</f>
        <v>Accounting, Bookkeeping &amp; Tax Prep</v>
      </c>
      <c r="D45" s="117">
        <f t="shared" si="10"/>
        <v>0</v>
      </c>
      <c r="E45" s="117">
        <f t="shared" si="10"/>
        <v>0</v>
      </c>
      <c r="F45" s="117">
        <f t="shared" si="10"/>
        <v>0</v>
      </c>
      <c r="G45" s="117">
        <f t="shared" si="10"/>
        <v>0</v>
      </c>
      <c r="H45" s="117">
        <f t="shared" si="10"/>
        <v>0</v>
      </c>
      <c r="I45" s="117">
        <f t="shared" si="10"/>
        <v>0</v>
      </c>
      <c r="J45" s="117">
        <f t="shared" si="10"/>
        <v>0</v>
      </c>
      <c r="K45" s="117">
        <f t="shared" si="10"/>
        <v>0</v>
      </c>
      <c r="L45" s="117">
        <f t="shared" si="10"/>
        <v>0</v>
      </c>
      <c r="M45" s="117">
        <f t="shared" si="10"/>
        <v>0</v>
      </c>
      <c r="N45" s="117">
        <f t="shared" si="10"/>
        <v>0</v>
      </c>
      <c r="O45" s="117">
        <f t="shared" si="10"/>
        <v>0</v>
      </c>
      <c r="P45" s="118">
        <f>ROUND(SUMIFS(Txn_Ded,Txn_Cat,$C45,Txn_Date,"&gt;="&amp;Yr_Start,Txn_Date,"&lt;="&amp;Yr_End),2)</f>
        <v>0</v>
      </c>
    </row>
    <row r="46" spans="2:16" x14ac:dyDescent="0.25">
      <c r="B46" s="119"/>
      <c r="C46" s="120" t="str">
        <f>Categories!$B$69</f>
        <v>Consulting &amp; Practice Advisory</v>
      </c>
      <c r="D46" s="121">
        <f t="shared" si="10"/>
        <v>0</v>
      </c>
      <c r="E46" s="121">
        <f t="shared" si="10"/>
        <v>0</v>
      </c>
      <c r="F46" s="121">
        <f t="shared" si="10"/>
        <v>0</v>
      </c>
      <c r="G46" s="121">
        <f t="shared" si="10"/>
        <v>0</v>
      </c>
      <c r="H46" s="121">
        <f t="shared" si="10"/>
        <v>0</v>
      </c>
      <c r="I46" s="121">
        <f t="shared" si="10"/>
        <v>0</v>
      </c>
      <c r="J46" s="121">
        <f t="shared" si="10"/>
        <v>0</v>
      </c>
      <c r="K46" s="121">
        <f t="shared" si="10"/>
        <v>0</v>
      </c>
      <c r="L46" s="121">
        <f t="shared" si="10"/>
        <v>0</v>
      </c>
      <c r="M46" s="121">
        <f t="shared" si="10"/>
        <v>0</v>
      </c>
      <c r="N46" s="121">
        <f t="shared" si="10"/>
        <v>0</v>
      </c>
      <c r="O46" s="121">
        <f t="shared" si="10"/>
        <v>0</v>
      </c>
      <c r="P46" s="122">
        <f>ROUND(SUMIFS(Txn_Ded,Txn_Cat,$C46,Txn_Date,"&gt;="&amp;Yr_Start,Txn_Date,"&lt;="&amp;Yr_End),2)</f>
        <v>0</v>
      </c>
    </row>
    <row r="47" spans="2:16" ht="8.1" customHeight="1" x14ac:dyDescent="0.25"/>
    <row r="48" spans="2:16" ht="33.75" x14ac:dyDescent="0.25">
      <c r="B48" s="123" t="str">
        <f>IF(OR('2. Setup'!$C$9="",'2. Setup'!$C$9="Not sure - ask my accountant"),"TAX CLASSIFICATION NOT SET",IF(OR('2. Setup'!$C$9="Sole Proprietor",'2. Setup'!$C$9="Single-Member LLC (disregarded)"),"18",IF('2. Setup'!$C$9="S-Corporation","20",IF('2. Setup'!$C$9="Partnership / Multi-Member LLC","1065 NOT MAPPED","1120 NOT MAPPED"))))</f>
        <v>TAX CLASSIFICATION NOT SET</v>
      </c>
      <c r="C48" s="112" t="str">
        <f>IF(OR('2. Setup'!$C$9="",'2. Setup'!$C$9="Not sure - ask my accountant"),"Grouped as Schedule C line 18",IF(OR('2. Setup'!$C$9="Sole Proprietor",'2. Setup'!$C$9="Single-Member LLC (disregarded)"),IFERROR(IF(INDEX(SCL_Pilot,MATCH("18",SCL_Line,0))="approved_for_pilot",INDEX(SCL_Caption,MATCH("18",SCL_Line,0)),"Schedule C line 18 - CAPTION PENDING APPROVAL"),"Schedule C line 18 - NO CAPTION ON THE TAX RULES SHEET"),IF('2. Setup'!$C$9="S-Corporation",IFERROR(IF(INDEX(S1120_Pilot,MATCH("20",S1120_Line,0))="approved_for_pilot",INDEX(S1120_Caption,MATCH("20",S1120_Line,0)),"Form 1120-S line 20 - CAPTION PENDING APPROVAL"),"Form 1120-S line 20 - NO CAPTION ON THE TAX RULES SHEET"),"Grouped as Schedule C line 18")))</f>
        <v>Grouped as Schedule C line 18</v>
      </c>
      <c r="D48" s="124">
        <f t="shared" ref="D48:P48" si="11">ROUND(SUM(D49:D53),2)</f>
        <v>0</v>
      </c>
      <c r="E48" s="124">
        <f t="shared" si="11"/>
        <v>0</v>
      </c>
      <c r="F48" s="124">
        <f t="shared" si="11"/>
        <v>0</v>
      </c>
      <c r="G48" s="124">
        <f t="shared" si="11"/>
        <v>0</v>
      </c>
      <c r="H48" s="124">
        <f t="shared" si="11"/>
        <v>0</v>
      </c>
      <c r="I48" s="124">
        <f t="shared" si="11"/>
        <v>0</v>
      </c>
      <c r="J48" s="124">
        <f t="shared" si="11"/>
        <v>0</v>
      </c>
      <c r="K48" s="124">
        <f t="shared" si="11"/>
        <v>0</v>
      </c>
      <c r="L48" s="124">
        <f t="shared" si="11"/>
        <v>0</v>
      </c>
      <c r="M48" s="124">
        <f t="shared" si="11"/>
        <v>0</v>
      </c>
      <c r="N48" s="124">
        <f t="shared" si="11"/>
        <v>0</v>
      </c>
      <c r="O48" s="124">
        <f t="shared" si="11"/>
        <v>0</v>
      </c>
      <c r="P48" s="125">
        <f t="shared" si="11"/>
        <v>0</v>
      </c>
    </row>
    <row r="49" spans="2:16" x14ac:dyDescent="0.25">
      <c r="B49" s="115"/>
      <c r="C49" s="116" t="str">
        <f>Categories!$B$39</f>
        <v>Office Supplies &amp; Printing</v>
      </c>
      <c r="D49" s="117">
        <f t="shared" ref="D49:O53" si="12">ROUND(SUMIFS(Txn_Ded,Txn_Cat,$C49,Txn_Date,"&gt;="&amp;D$9,Txn_Date,"&lt;="&amp;EOMONTH(D$9,0)),2)</f>
        <v>0</v>
      </c>
      <c r="E49" s="117">
        <f t="shared" si="12"/>
        <v>0</v>
      </c>
      <c r="F49" s="117">
        <f t="shared" si="12"/>
        <v>0</v>
      </c>
      <c r="G49" s="117">
        <f t="shared" si="12"/>
        <v>0</v>
      </c>
      <c r="H49" s="117">
        <f t="shared" si="12"/>
        <v>0</v>
      </c>
      <c r="I49" s="117">
        <f t="shared" si="12"/>
        <v>0</v>
      </c>
      <c r="J49" s="117">
        <f t="shared" si="12"/>
        <v>0</v>
      </c>
      <c r="K49" s="117">
        <f t="shared" si="12"/>
        <v>0</v>
      </c>
      <c r="L49" s="117">
        <f t="shared" si="12"/>
        <v>0</v>
      </c>
      <c r="M49" s="117">
        <f t="shared" si="12"/>
        <v>0</v>
      </c>
      <c r="N49" s="117">
        <f t="shared" si="12"/>
        <v>0</v>
      </c>
      <c r="O49" s="117">
        <f t="shared" si="12"/>
        <v>0</v>
      </c>
      <c r="P49" s="118">
        <f>ROUND(SUMIFS(Txn_Ded,Txn_Cat,$C49,Txn_Date,"&gt;="&amp;Yr_Start,Txn_Date,"&lt;="&amp;Yr_End),2)</f>
        <v>0</v>
      </c>
    </row>
    <row r="50" spans="2:16" x14ac:dyDescent="0.25">
      <c r="B50" s="119"/>
      <c r="C50" s="120" t="str">
        <f>Categories!$B$40</f>
        <v>Postage &amp; Shipping</v>
      </c>
      <c r="D50" s="121">
        <f t="shared" si="12"/>
        <v>0</v>
      </c>
      <c r="E50" s="121">
        <f t="shared" si="12"/>
        <v>0</v>
      </c>
      <c r="F50" s="121">
        <f t="shared" si="12"/>
        <v>0</v>
      </c>
      <c r="G50" s="121">
        <f t="shared" si="12"/>
        <v>0</v>
      </c>
      <c r="H50" s="121">
        <f t="shared" si="12"/>
        <v>0</v>
      </c>
      <c r="I50" s="121">
        <f t="shared" si="12"/>
        <v>0</v>
      </c>
      <c r="J50" s="121">
        <f t="shared" si="12"/>
        <v>0</v>
      </c>
      <c r="K50" s="121">
        <f t="shared" si="12"/>
        <v>0</v>
      </c>
      <c r="L50" s="121">
        <f t="shared" si="12"/>
        <v>0</v>
      </c>
      <c r="M50" s="121">
        <f t="shared" si="12"/>
        <v>0</v>
      </c>
      <c r="N50" s="121">
        <f t="shared" si="12"/>
        <v>0</v>
      </c>
      <c r="O50" s="121">
        <f t="shared" si="12"/>
        <v>0</v>
      </c>
      <c r="P50" s="122">
        <f>ROUND(SUMIFS(Txn_Ded,Txn_Cat,$C50,Txn_Date,"&gt;="&amp;Yr_Start,Txn_Date,"&lt;="&amp;Yr_End),2)</f>
        <v>0</v>
      </c>
    </row>
    <row r="51" spans="2:16" x14ac:dyDescent="0.25">
      <c r="B51" s="115"/>
      <c r="C51" s="116" t="str">
        <f>Categories!$B$42</f>
        <v>EHR / Practice Management Software</v>
      </c>
      <c r="D51" s="117">
        <f t="shared" si="12"/>
        <v>0</v>
      </c>
      <c r="E51" s="117">
        <f t="shared" si="12"/>
        <v>0</v>
      </c>
      <c r="F51" s="117">
        <f t="shared" si="12"/>
        <v>0</v>
      </c>
      <c r="G51" s="117">
        <f t="shared" si="12"/>
        <v>0</v>
      </c>
      <c r="H51" s="117">
        <f t="shared" si="12"/>
        <v>0</v>
      </c>
      <c r="I51" s="117">
        <f t="shared" si="12"/>
        <v>0</v>
      </c>
      <c r="J51" s="117">
        <f t="shared" si="12"/>
        <v>0</v>
      </c>
      <c r="K51" s="117">
        <f t="shared" si="12"/>
        <v>0</v>
      </c>
      <c r="L51" s="117">
        <f t="shared" si="12"/>
        <v>0</v>
      </c>
      <c r="M51" s="117">
        <f t="shared" si="12"/>
        <v>0</v>
      </c>
      <c r="N51" s="117">
        <f t="shared" si="12"/>
        <v>0</v>
      </c>
      <c r="O51" s="117">
        <f t="shared" si="12"/>
        <v>0</v>
      </c>
      <c r="P51" s="118">
        <f>ROUND(SUMIFS(Txn_Ded,Txn_Cat,$C51,Txn_Date,"&gt;="&amp;Yr_Start,Txn_Date,"&lt;="&amp;Yr_End),2)</f>
        <v>0</v>
      </c>
    </row>
    <row r="52" spans="2:16" x14ac:dyDescent="0.25">
      <c r="B52" s="119"/>
      <c r="C52" s="120" t="str">
        <f>Categories!$B$45</f>
        <v>Telehealth Platform</v>
      </c>
      <c r="D52" s="121">
        <f t="shared" si="12"/>
        <v>0</v>
      </c>
      <c r="E52" s="121">
        <f t="shared" si="12"/>
        <v>0</v>
      </c>
      <c r="F52" s="121">
        <f t="shared" si="12"/>
        <v>0</v>
      </c>
      <c r="G52" s="121">
        <f t="shared" si="12"/>
        <v>0</v>
      </c>
      <c r="H52" s="121">
        <f t="shared" si="12"/>
        <v>0</v>
      </c>
      <c r="I52" s="121">
        <f t="shared" si="12"/>
        <v>0</v>
      </c>
      <c r="J52" s="121">
        <f t="shared" si="12"/>
        <v>0</v>
      </c>
      <c r="K52" s="121">
        <f t="shared" si="12"/>
        <v>0</v>
      </c>
      <c r="L52" s="121">
        <f t="shared" si="12"/>
        <v>0</v>
      </c>
      <c r="M52" s="121">
        <f t="shared" si="12"/>
        <v>0</v>
      </c>
      <c r="N52" s="121">
        <f t="shared" si="12"/>
        <v>0</v>
      </c>
      <c r="O52" s="121">
        <f t="shared" si="12"/>
        <v>0</v>
      </c>
      <c r="P52" s="122">
        <f>ROUND(SUMIFS(Txn_Ded,Txn_Cat,$C52,Txn_Date,"&gt;="&amp;Yr_Start,Txn_Date,"&lt;="&amp;Yr_End),2)</f>
        <v>0</v>
      </c>
    </row>
    <row r="53" spans="2:16" x14ac:dyDescent="0.25">
      <c r="B53" s="115"/>
      <c r="C53" s="116" t="str">
        <f>Categories!$B$48</f>
        <v>Software &amp; Subscriptions (General)</v>
      </c>
      <c r="D53" s="117">
        <f t="shared" si="12"/>
        <v>0</v>
      </c>
      <c r="E53" s="117">
        <f t="shared" si="12"/>
        <v>0</v>
      </c>
      <c r="F53" s="117">
        <f t="shared" si="12"/>
        <v>0</v>
      </c>
      <c r="G53" s="117">
        <f t="shared" si="12"/>
        <v>0</v>
      </c>
      <c r="H53" s="117">
        <f t="shared" si="12"/>
        <v>0</v>
      </c>
      <c r="I53" s="117">
        <f t="shared" si="12"/>
        <v>0</v>
      </c>
      <c r="J53" s="117">
        <f t="shared" si="12"/>
        <v>0</v>
      </c>
      <c r="K53" s="117">
        <f t="shared" si="12"/>
        <v>0</v>
      </c>
      <c r="L53" s="117">
        <f t="shared" si="12"/>
        <v>0</v>
      </c>
      <c r="M53" s="117">
        <f t="shared" si="12"/>
        <v>0</v>
      </c>
      <c r="N53" s="117">
        <f t="shared" si="12"/>
        <v>0</v>
      </c>
      <c r="O53" s="117">
        <f t="shared" si="12"/>
        <v>0</v>
      </c>
      <c r="P53" s="118">
        <f>ROUND(SUMIFS(Txn_Ded,Txn_Cat,$C53,Txn_Date,"&gt;="&amp;Yr_Start,Txn_Date,"&lt;="&amp;Yr_End),2)</f>
        <v>0</v>
      </c>
    </row>
    <row r="54" spans="2:16" ht="8.1" customHeight="1" x14ac:dyDescent="0.25"/>
    <row r="55" spans="2:16" ht="33.75" x14ac:dyDescent="0.25">
      <c r="B55" s="123" t="str">
        <f>IF(OR('2. Setup'!$C$9="",'2. Setup'!$C$9="Not sure - ask my accountant"),"TAX CLASSIFICATION NOT SET",IF(OR('2. Setup'!$C$9="Sole Proprietor",'2. Setup'!$C$9="Single-Member LLC (disregarded)"),"20a",IF('2. Setup'!$C$9="S-Corporation","11",IF('2. Setup'!$C$9="Partnership / Multi-Member LLC","1065 NOT MAPPED","1120 NOT MAPPED"))))</f>
        <v>TAX CLASSIFICATION NOT SET</v>
      </c>
      <c r="C55" s="112" t="str">
        <f>IF(OR('2. Setup'!$C$9="",'2. Setup'!$C$9="Not sure - ask my accountant"),"Grouped as Schedule C line 20a",IF(OR('2. Setup'!$C$9="Sole Proprietor",'2. Setup'!$C$9="Single-Member LLC (disregarded)"),IFERROR(IF(INDEX(SCL_Pilot,MATCH("20a",SCL_Line,0))="approved_for_pilot",INDEX(SCL_Caption,MATCH("20a",SCL_Line,0)),"Schedule C line 20a - CAPTION PENDING APPROVAL"),"Schedule C line 20a - NO CAPTION ON THE TAX RULES SHEET"),IF('2. Setup'!$C$9="S-Corporation",IFERROR(IF(INDEX(S1120_Pilot,MATCH("11",S1120_Line,0))="approved_for_pilot",INDEX(S1120_Caption,MATCH("11",S1120_Line,0)),"Form 1120-S line 11 - CAPTION PENDING APPROVAL"),"Form 1120-S line 11 - NO CAPTION ON THE TAX RULES SHEET"),"Grouped as Schedule C line 20a")))</f>
        <v>Grouped as Schedule C line 20a</v>
      </c>
      <c r="D55" s="124">
        <f t="shared" ref="D55:P55" si="13">ROUND(SUM(D56:D56),2)</f>
        <v>0</v>
      </c>
      <c r="E55" s="124">
        <f t="shared" si="13"/>
        <v>0</v>
      </c>
      <c r="F55" s="124">
        <f t="shared" si="13"/>
        <v>0</v>
      </c>
      <c r="G55" s="124">
        <f t="shared" si="13"/>
        <v>0</v>
      </c>
      <c r="H55" s="124">
        <f t="shared" si="13"/>
        <v>0</v>
      </c>
      <c r="I55" s="124">
        <f t="shared" si="13"/>
        <v>0</v>
      </c>
      <c r="J55" s="124">
        <f t="shared" si="13"/>
        <v>0</v>
      </c>
      <c r="K55" s="124">
        <f t="shared" si="13"/>
        <v>0</v>
      </c>
      <c r="L55" s="124">
        <f t="shared" si="13"/>
        <v>0</v>
      </c>
      <c r="M55" s="124">
        <f t="shared" si="13"/>
        <v>0</v>
      </c>
      <c r="N55" s="124">
        <f t="shared" si="13"/>
        <v>0</v>
      </c>
      <c r="O55" s="124">
        <f t="shared" si="13"/>
        <v>0</v>
      </c>
      <c r="P55" s="125">
        <f t="shared" si="13"/>
        <v>0</v>
      </c>
    </row>
    <row r="56" spans="2:16" x14ac:dyDescent="0.25">
      <c r="B56" s="119"/>
      <c r="C56" s="120" t="str">
        <f>Categories!$B$30</f>
        <v>Equipment Lease &amp; Maintenance</v>
      </c>
      <c r="D56" s="121">
        <f t="shared" ref="D56:O56" si="14">ROUND(SUMIFS(Txn_Ded,Txn_Cat,$C56,Txn_Date,"&gt;="&amp;D$9,Txn_Date,"&lt;="&amp;EOMONTH(D$9,0)),2)</f>
        <v>0</v>
      </c>
      <c r="E56" s="121">
        <f t="shared" si="14"/>
        <v>0</v>
      </c>
      <c r="F56" s="121">
        <f t="shared" si="14"/>
        <v>0</v>
      </c>
      <c r="G56" s="121">
        <f t="shared" si="14"/>
        <v>0</v>
      </c>
      <c r="H56" s="121">
        <f t="shared" si="14"/>
        <v>0</v>
      </c>
      <c r="I56" s="121">
        <f t="shared" si="14"/>
        <v>0</v>
      </c>
      <c r="J56" s="121">
        <f t="shared" si="14"/>
        <v>0</v>
      </c>
      <c r="K56" s="121">
        <f t="shared" si="14"/>
        <v>0</v>
      </c>
      <c r="L56" s="121">
        <f t="shared" si="14"/>
        <v>0</v>
      </c>
      <c r="M56" s="121">
        <f t="shared" si="14"/>
        <v>0</v>
      </c>
      <c r="N56" s="121">
        <f t="shared" si="14"/>
        <v>0</v>
      </c>
      <c r="O56" s="121">
        <f t="shared" si="14"/>
        <v>0</v>
      </c>
      <c r="P56" s="122">
        <f>ROUND(SUMIFS(Txn_Ded,Txn_Cat,$C56,Txn_Date,"&gt;="&amp;Yr_Start,Txn_Date,"&lt;="&amp;Yr_End),2)</f>
        <v>0</v>
      </c>
    </row>
    <row r="57" spans="2:16" ht="8.1" customHeight="1" x14ac:dyDescent="0.25"/>
    <row r="58" spans="2:16" ht="33.75" x14ac:dyDescent="0.25">
      <c r="B58" s="123" t="str">
        <f>IF(OR('2. Setup'!$C$9="",'2. Setup'!$C$9="Not sure - ask my accountant"),"TAX CLASSIFICATION NOT SET",IF(OR('2. Setup'!$C$9="Sole Proprietor",'2. Setup'!$C$9="Single-Member LLC (disregarded)"),"20b",IF('2. Setup'!$C$9="S-Corporation","11",IF('2. Setup'!$C$9="Partnership / Multi-Member LLC","1065 NOT MAPPED","1120 NOT MAPPED"))))</f>
        <v>TAX CLASSIFICATION NOT SET</v>
      </c>
      <c r="C58" s="112" t="str">
        <f>IF(OR('2. Setup'!$C$9="",'2. Setup'!$C$9="Not sure - ask my accountant"),"Grouped as Schedule C line 20b",IF(OR('2. Setup'!$C$9="Sole Proprietor",'2. Setup'!$C$9="Single-Member LLC (disregarded)"),IFERROR(IF(INDEX(SCL_Pilot,MATCH("20b",SCL_Line,0))="approved_for_pilot",INDEX(SCL_Caption,MATCH("20b",SCL_Line,0)),"Schedule C line 20b - CAPTION PENDING APPROVAL"),"Schedule C line 20b - NO CAPTION ON THE TAX RULES SHEET"),IF('2. Setup'!$C$9="S-Corporation",IFERROR(IF(INDEX(S1120_Pilot,MATCH("11",S1120_Line,0))="approved_for_pilot",INDEX(S1120_Caption,MATCH("11",S1120_Line,0)),"Form 1120-S line 11 - CAPTION PENDING APPROVAL"),"Form 1120-S line 11 - NO CAPTION ON THE TAX RULES SHEET"),"Grouped as Schedule C line 20b")))</f>
        <v>Grouped as Schedule C line 20b</v>
      </c>
      <c r="D58" s="124">
        <f t="shared" ref="D58:P58" si="15">ROUND(SUM(D59:D59),2)</f>
        <v>0</v>
      </c>
      <c r="E58" s="124">
        <f t="shared" si="15"/>
        <v>0</v>
      </c>
      <c r="F58" s="124">
        <f t="shared" si="15"/>
        <v>0</v>
      </c>
      <c r="G58" s="124">
        <f t="shared" si="15"/>
        <v>0</v>
      </c>
      <c r="H58" s="124">
        <f t="shared" si="15"/>
        <v>0</v>
      </c>
      <c r="I58" s="124">
        <f t="shared" si="15"/>
        <v>0</v>
      </c>
      <c r="J58" s="124">
        <f t="shared" si="15"/>
        <v>0</v>
      </c>
      <c r="K58" s="124">
        <f t="shared" si="15"/>
        <v>0</v>
      </c>
      <c r="L58" s="124">
        <f t="shared" si="15"/>
        <v>0</v>
      </c>
      <c r="M58" s="124">
        <f t="shared" si="15"/>
        <v>0</v>
      </c>
      <c r="N58" s="124">
        <f t="shared" si="15"/>
        <v>0</v>
      </c>
      <c r="O58" s="124">
        <f t="shared" si="15"/>
        <v>0</v>
      </c>
      <c r="P58" s="125">
        <f t="shared" si="15"/>
        <v>0</v>
      </c>
    </row>
    <row r="59" spans="2:16" x14ac:dyDescent="0.25">
      <c r="B59" s="115"/>
      <c r="C59" s="116" t="str">
        <f>Categories!$B$34</f>
        <v>Rent - Office / Clinic</v>
      </c>
      <c r="D59" s="117">
        <f t="shared" ref="D59:O59" si="16">ROUND(SUMIFS(Txn_Ded,Txn_Cat,$C59,Txn_Date,"&gt;="&amp;D$9,Txn_Date,"&lt;="&amp;EOMONTH(D$9,0)),2)</f>
        <v>0</v>
      </c>
      <c r="E59" s="117">
        <f t="shared" si="16"/>
        <v>0</v>
      </c>
      <c r="F59" s="117">
        <f t="shared" si="16"/>
        <v>0</v>
      </c>
      <c r="G59" s="117">
        <f t="shared" si="16"/>
        <v>0</v>
      </c>
      <c r="H59" s="117">
        <f t="shared" si="16"/>
        <v>0</v>
      </c>
      <c r="I59" s="117">
        <f t="shared" si="16"/>
        <v>0</v>
      </c>
      <c r="J59" s="117">
        <f t="shared" si="16"/>
        <v>0</v>
      </c>
      <c r="K59" s="117">
        <f t="shared" si="16"/>
        <v>0</v>
      </c>
      <c r="L59" s="117">
        <f t="shared" si="16"/>
        <v>0</v>
      </c>
      <c r="M59" s="117">
        <f t="shared" si="16"/>
        <v>0</v>
      </c>
      <c r="N59" s="117">
        <f t="shared" si="16"/>
        <v>0</v>
      </c>
      <c r="O59" s="117">
        <f t="shared" si="16"/>
        <v>0</v>
      </c>
      <c r="P59" s="118">
        <f>ROUND(SUMIFS(Txn_Ded,Txn_Cat,$C59,Txn_Date,"&gt;="&amp;Yr_Start,Txn_Date,"&lt;="&amp;Yr_End),2)</f>
        <v>0</v>
      </c>
    </row>
    <row r="60" spans="2:16" ht="8.1" customHeight="1" x14ac:dyDescent="0.25"/>
    <row r="61" spans="2:16" ht="33.75" x14ac:dyDescent="0.25">
      <c r="B61" s="123" t="str">
        <f>IF(OR('2. Setup'!$C$9="",'2. Setup'!$C$9="Not sure - ask my accountant"),"TAX CLASSIFICATION NOT SET",IF(OR('2. Setup'!$C$9="Sole Proprietor",'2. Setup'!$C$9="Single-Member LLC (disregarded)"),"21",IF('2. Setup'!$C$9="S-Corporation","9",IF('2. Setup'!$C$9="Partnership / Multi-Member LLC","1065 NOT MAPPED","1120 NOT MAPPED"))))</f>
        <v>TAX CLASSIFICATION NOT SET</v>
      </c>
      <c r="C61" s="112" t="str">
        <f>IF(OR('2. Setup'!$C$9="",'2. Setup'!$C$9="Not sure - ask my accountant"),"Grouped as Schedule C line 21",IF(OR('2. Setup'!$C$9="Sole Proprietor",'2. Setup'!$C$9="Single-Member LLC (disregarded)"),IFERROR(IF(INDEX(SCL_Pilot,MATCH("21",SCL_Line,0))="approved_for_pilot",INDEX(SCL_Caption,MATCH("21",SCL_Line,0)),"Schedule C line 21 - CAPTION PENDING APPROVAL"),"Schedule C line 21 - NO CAPTION ON THE TAX RULES SHEET"),IF('2. Setup'!$C$9="S-Corporation",IFERROR(IF(INDEX(S1120_Pilot,MATCH("9",S1120_Line,0))="approved_for_pilot",INDEX(S1120_Caption,MATCH("9",S1120_Line,0)),"Form 1120-S line 9 - CAPTION PENDING APPROVAL"),"Form 1120-S line 9 - NO CAPTION ON THE TAX RULES SHEET"),"Grouped as Schedule C line 21")))</f>
        <v>Grouped as Schedule C line 21</v>
      </c>
      <c r="D61" s="124">
        <f t="shared" ref="D61:P61" si="17">ROUND(SUM(D62:D62),2)</f>
        <v>0</v>
      </c>
      <c r="E61" s="124">
        <f t="shared" si="17"/>
        <v>0</v>
      </c>
      <c r="F61" s="124">
        <f t="shared" si="17"/>
        <v>0</v>
      </c>
      <c r="G61" s="124">
        <f t="shared" si="17"/>
        <v>0</v>
      </c>
      <c r="H61" s="124">
        <f t="shared" si="17"/>
        <v>0</v>
      </c>
      <c r="I61" s="124">
        <f t="shared" si="17"/>
        <v>0</v>
      </c>
      <c r="J61" s="124">
        <f t="shared" si="17"/>
        <v>0</v>
      </c>
      <c r="K61" s="124">
        <f t="shared" si="17"/>
        <v>0</v>
      </c>
      <c r="L61" s="124">
        <f t="shared" si="17"/>
        <v>0</v>
      </c>
      <c r="M61" s="124">
        <f t="shared" si="17"/>
        <v>0</v>
      </c>
      <c r="N61" s="124">
        <f t="shared" si="17"/>
        <v>0</v>
      </c>
      <c r="O61" s="124">
        <f t="shared" si="17"/>
        <v>0</v>
      </c>
      <c r="P61" s="125">
        <f t="shared" si="17"/>
        <v>0</v>
      </c>
    </row>
    <row r="62" spans="2:16" x14ac:dyDescent="0.25">
      <c r="B62" s="119"/>
      <c r="C62" s="120" t="str">
        <f>Categories!$B$38</f>
        <v>Repairs &amp; Maintenance</v>
      </c>
      <c r="D62" s="121">
        <f t="shared" ref="D62:O62" si="18">ROUND(SUMIFS(Txn_Ded,Txn_Cat,$C62,Txn_Date,"&gt;="&amp;D$9,Txn_Date,"&lt;="&amp;EOMONTH(D$9,0)),2)</f>
        <v>0</v>
      </c>
      <c r="E62" s="121">
        <f t="shared" si="18"/>
        <v>0</v>
      </c>
      <c r="F62" s="121">
        <f t="shared" si="18"/>
        <v>0</v>
      </c>
      <c r="G62" s="121">
        <f t="shared" si="18"/>
        <v>0</v>
      </c>
      <c r="H62" s="121">
        <f t="shared" si="18"/>
        <v>0</v>
      </c>
      <c r="I62" s="121">
        <f t="shared" si="18"/>
        <v>0</v>
      </c>
      <c r="J62" s="121">
        <f t="shared" si="18"/>
        <v>0</v>
      </c>
      <c r="K62" s="121">
        <f t="shared" si="18"/>
        <v>0</v>
      </c>
      <c r="L62" s="121">
        <f t="shared" si="18"/>
        <v>0</v>
      </c>
      <c r="M62" s="121">
        <f t="shared" si="18"/>
        <v>0</v>
      </c>
      <c r="N62" s="121">
        <f t="shared" si="18"/>
        <v>0</v>
      </c>
      <c r="O62" s="121">
        <f t="shared" si="18"/>
        <v>0</v>
      </c>
      <c r="P62" s="122">
        <f>ROUND(SUMIFS(Txn_Ded,Txn_Cat,$C62,Txn_Date,"&gt;="&amp;Yr_Start,Txn_Date,"&lt;="&amp;Yr_End),2)</f>
        <v>0</v>
      </c>
    </row>
    <row r="63" spans="2:16" ht="8.1" customHeight="1" x14ac:dyDescent="0.25"/>
    <row r="64" spans="2:16" ht="33.75" x14ac:dyDescent="0.25">
      <c r="B64" s="123" t="str">
        <f>IF(OR('2. Setup'!$C$9="",'2. Setup'!$C$9="Not sure - ask my accountant"),"TAX CLASSIFICATION NOT SET",IF(OR('2. Setup'!$C$9="Sole Proprietor",'2. Setup'!$C$9="Single-Member LLC (disregarded)"),"22",IF('2. Setup'!$C$9="S-Corporation","20",IF('2. Setup'!$C$9="Partnership / Multi-Member LLC","1065 NOT MAPPED","1120 NOT MAPPED"))))</f>
        <v>TAX CLASSIFICATION NOT SET</v>
      </c>
      <c r="C64" s="112" t="str">
        <f>IF(OR('2. Setup'!$C$9="",'2. Setup'!$C$9="Not sure - ask my accountant"),"Grouped as Schedule C line 22",IF(OR('2. Setup'!$C$9="Sole Proprietor",'2. Setup'!$C$9="Single-Member LLC (disregarded)"),IFERROR(IF(INDEX(SCL_Pilot,MATCH("22",SCL_Line,0))="approved_for_pilot",INDEX(SCL_Caption,MATCH("22",SCL_Line,0)),"Schedule C line 22 - CAPTION PENDING APPROVAL"),"Schedule C line 22 - NO CAPTION ON THE TAX RULES SHEET"),IF('2. Setup'!$C$9="S-Corporation",IFERROR(IF(INDEX(S1120_Pilot,MATCH("20",S1120_Line,0))="approved_for_pilot",INDEX(S1120_Caption,MATCH("20",S1120_Line,0)),"Form 1120-S line 20 - CAPTION PENDING APPROVAL"),"Form 1120-S line 20 - NO CAPTION ON THE TAX RULES SHEET"),"Grouped as Schedule C line 22")))</f>
        <v>Grouped as Schedule C line 22</v>
      </c>
      <c r="D64" s="124">
        <f t="shared" ref="D64:P64" si="19">ROUND(SUM(D65:D68),2)</f>
        <v>0</v>
      </c>
      <c r="E64" s="124">
        <f t="shared" si="19"/>
        <v>0</v>
      </c>
      <c r="F64" s="124">
        <f t="shared" si="19"/>
        <v>0</v>
      </c>
      <c r="G64" s="124">
        <f t="shared" si="19"/>
        <v>0</v>
      </c>
      <c r="H64" s="124">
        <f t="shared" si="19"/>
        <v>0</v>
      </c>
      <c r="I64" s="124">
        <f t="shared" si="19"/>
        <v>0</v>
      </c>
      <c r="J64" s="124">
        <f t="shared" si="19"/>
        <v>0</v>
      </c>
      <c r="K64" s="124">
        <f t="shared" si="19"/>
        <v>0</v>
      </c>
      <c r="L64" s="124">
        <f t="shared" si="19"/>
        <v>0</v>
      </c>
      <c r="M64" s="124">
        <f t="shared" si="19"/>
        <v>0</v>
      </c>
      <c r="N64" s="124">
        <f t="shared" si="19"/>
        <v>0</v>
      </c>
      <c r="O64" s="124">
        <f t="shared" si="19"/>
        <v>0</v>
      </c>
      <c r="P64" s="125">
        <f t="shared" si="19"/>
        <v>0</v>
      </c>
    </row>
    <row r="65" spans="2:16" x14ac:dyDescent="0.25">
      <c r="B65" s="115"/>
      <c r="C65" s="116" t="str">
        <f>Categories!$B$24</f>
        <v>Medical &amp; Clinical Supplies</v>
      </c>
      <c r="D65" s="117">
        <f t="shared" ref="D65:O68" si="20">ROUND(SUMIFS(Txn_Ded,Txn_Cat,$C65,Txn_Date,"&gt;="&amp;D$9,Txn_Date,"&lt;="&amp;EOMONTH(D$9,0)),2)</f>
        <v>0</v>
      </c>
      <c r="E65" s="117">
        <f t="shared" si="20"/>
        <v>0</v>
      </c>
      <c r="F65" s="117">
        <f t="shared" si="20"/>
        <v>0</v>
      </c>
      <c r="G65" s="117">
        <f t="shared" si="20"/>
        <v>0</v>
      </c>
      <c r="H65" s="117">
        <f t="shared" si="20"/>
        <v>0</v>
      </c>
      <c r="I65" s="117">
        <f t="shared" si="20"/>
        <v>0</v>
      </c>
      <c r="J65" s="117">
        <f t="shared" si="20"/>
        <v>0</v>
      </c>
      <c r="K65" s="117">
        <f t="shared" si="20"/>
        <v>0</v>
      </c>
      <c r="L65" s="117">
        <f t="shared" si="20"/>
        <v>0</v>
      </c>
      <c r="M65" s="117">
        <f t="shared" si="20"/>
        <v>0</v>
      </c>
      <c r="N65" s="117">
        <f t="shared" si="20"/>
        <v>0</v>
      </c>
      <c r="O65" s="117">
        <f t="shared" si="20"/>
        <v>0</v>
      </c>
      <c r="P65" s="118">
        <f>ROUND(SUMIFS(Txn_Ded,Txn_Cat,$C65,Txn_Date,"&gt;="&amp;Yr_Start,Txn_Date,"&lt;="&amp;Yr_End),2)</f>
        <v>0</v>
      </c>
    </row>
    <row r="66" spans="2:16" x14ac:dyDescent="0.25">
      <c r="B66" s="119"/>
      <c r="C66" s="120" t="str">
        <f>Categories!$B$25</f>
        <v>Dental Supplies &amp; Lab Fees</v>
      </c>
      <c r="D66" s="121">
        <f t="shared" si="20"/>
        <v>0</v>
      </c>
      <c r="E66" s="121">
        <f t="shared" si="20"/>
        <v>0</v>
      </c>
      <c r="F66" s="121">
        <f t="shared" si="20"/>
        <v>0</v>
      </c>
      <c r="G66" s="121">
        <f t="shared" si="20"/>
        <v>0</v>
      </c>
      <c r="H66" s="121">
        <f t="shared" si="20"/>
        <v>0</v>
      </c>
      <c r="I66" s="121">
        <f t="shared" si="20"/>
        <v>0</v>
      </c>
      <c r="J66" s="121">
        <f t="shared" si="20"/>
        <v>0</v>
      </c>
      <c r="K66" s="121">
        <f t="shared" si="20"/>
        <v>0</v>
      </c>
      <c r="L66" s="121">
        <f t="shared" si="20"/>
        <v>0</v>
      </c>
      <c r="M66" s="121">
        <f t="shared" si="20"/>
        <v>0</v>
      </c>
      <c r="N66" s="121">
        <f t="shared" si="20"/>
        <v>0</v>
      </c>
      <c r="O66" s="121">
        <f t="shared" si="20"/>
        <v>0</v>
      </c>
      <c r="P66" s="122">
        <f>ROUND(SUMIFS(Txn_Ded,Txn_Cat,$C66,Txn_Date,"&gt;="&amp;Yr_Start,Txn_Date,"&lt;="&amp;Yr_End),2)</f>
        <v>0</v>
      </c>
    </row>
    <row r="67" spans="2:16" x14ac:dyDescent="0.25">
      <c r="B67" s="115"/>
      <c r="C67" s="116" t="str">
        <f>Categories!$B$27</f>
        <v>Pharmaceuticals, Vaccines &amp; Injectables</v>
      </c>
      <c r="D67" s="117">
        <f t="shared" si="20"/>
        <v>0</v>
      </c>
      <c r="E67" s="117">
        <f t="shared" si="20"/>
        <v>0</v>
      </c>
      <c r="F67" s="117">
        <f t="shared" si="20"/>
        <v>0</v>
      </c>
      <c r="G67" s="117">
        <f t="shared" si="20"/>
        <v>0</v>
      </c>
      <c r="H67" s="117">
        <f t="shared" si="20"/>
        <v>0</v>
      </c>
      <c r="I67" s="117">
        <f t="shared" si="20"/>
        <v>0</v>
      </c>
      <c r="J67" s="117">
        <f t="shared" si="20"/>
        <v>0</v>
      </c>
      <c r="K67" s="117">
        <f t="shared" si="20"/>
        <v>0</v>
      </c>
      <c r="L67" s="117">
        <f t="shared" si="20"/>
        <v>0</v>
      </c>
      <c r="M67" s="117">
        <f t="shared" si="20"/>
        <v>0</v>
      </c>
      <c r="N67" s="117">
        <f t="shared" si="20"/>
        <v>0</v>
      </c>
      <c r="O67" s="117">
        <f t="shared" si="20"/>
        <v>0</v>
      </c>
      <c r="P67" s="118">
        <f>ROUND(SUMIFS(Txn_Ded,Txn_Cat,$C67,Txn_Date,"&gt;="&amp;Yr_Start,Txn_Date,"&lt;="&amp;Yr_End),2)</f>
        <v>0</v>
      </c>
    </row>
    <row r="68" spans="2:16" x14ac:dyDescent="0.25">
      <c r="B68" s="119"/>
      <c r="C68" s="120" t="str">
        <f>Categories!$B$32</f>
        <v>Sterilization &amp; Infection Control</v>
      </c>
      <c r="D68" s="121">
        <f t="shared" si="20"/>
        <v>0</v>
      </c>
      <c r="E68" s="121">
        <f t="shared" si="20"/>
        <v>0</v>
      </c>
      <c r="F68" s="121">
        <f t="shared" si="20"/>
        <v>0</v>
      </c>
      <c r="G68" s="121">
        <f t="shared" si="20"/>
        <v>0</v>
      </c>
      <c r="H68" s="121">
        <f t="shared" si="20"/>
        <v>0</v>
      </c>
      <c r="I68" s="121">
        <f t="shared" si="20"/>
        <v>0</v>
      </c>
      <c r="J68" s="121">
        <f t="shared" si="20"/>
        <v>0</v>
      </c>
      <c r="K68" s="121">
        <f t="shared" si="20"/>
        <v>0</v>
      </c>
      <c r="L68" s="121">
        <f t="shared" si="20"/>
        <v>0</v>
      </c>
      <c r="M68" s="121">
        <f t="shared" si="20"/>
        <v>0</v>
      </c>
      <c r="N68" s="121">
        <f t="shared" si="20"/>
        <v>0</v>
      </c>
      <c r="O68" s="121">
        <f t="shared" si="20"/>
        <v>0</v>
      </c>
      <c r="P68" s="122">
        <f>ROUND(SUMIFS(Txn_Ded,Txn_Cat,$C68,Txn_Date,"&gt;="&amp;Yr_Start,Txn_Date,"&lt;="&amp;Yr_End),2)</f>
        <v>0</v>
      </c>
    </row>
    <row r="69" spans="2:16" ht="8.1" customHeight="1" x14ac:dyDescent="0.25"/>
    <row r="70" spans="2:16" ht="33.75" x14ac:dyDescent="0.25">
      <c r="B70" s="123" t="str">
        <f>IF(OR('2. Setup'!$C$9="",'2. Setup'!$C$9="Not sure - ask my accountant"),"TAX CLASSIFICATION NOT SET",IF(OR('2. Setup'!$C$9="Sole Proprietor",'2. Setup'!$C$9="Single-Member LLC (disregarded)"),"23",IF('2. Setup'!$C$9="S-Corporation","12",IF('2. Setup'!$C$9="Partnership / Multi-Member LLC","1065 NOT MAPPED","1120 NOT MAPPED"))))</f>
        <v>TAX CLASSIFICATION NOT SET</v>
      </c>
      <c r="C70" s="112" t="str">
        <f>IF(OR('2. Setup'!$C$9="",'2. Setup'!$C$9="Not sure - ask my accountant"),"Grouped as Schedule C line 23",IF(OR('2. Setup'!$C$9="Sole Proprietor",'2. Setup'!$C$9="Single-Member LLC (disregarded)"),IFERROR(IF(INDEX(SCL_Pilot,MATCH("23",SCL_Line,0))="approved_for_pilot",INDEX(SCL_Caption,MATCH("23",SCL_Line,0)),"Schedule C line 23 - CAPTION PENDING APPROVAL"),"Schedule C line 23 - NO CAPTION ON THE TAX RULES SHEET"),IF('2. Setup'!$C$9="S-Corporation",IFERROR(IF(INDEX(S1120_Pilot,MATCH("12",S1120_Line,0))="approved_for_pilot",INDEX(S1120_Caption,MATCH("12",S1120_Line,0)),"Form 1120-S line 12 - CAPTION PENDING APPROVAL"),"Form 1120-S line 12 - NO CAPTION ON THE TAX RULES SHEET"),"Grouped as Schedule C line 23")))</f>
        <v>Grouped as Schedule C line 23</v>
      </c>
      <c r="D70" s="124">
        <f t="shared" ref="D70:P70" si="21">ROUND(SUM(D71:D73),2)</f>
        <v>0</v>
      </c>
      <c r="E70" s="124">
        <f t="shared" si="21"/>
        <v>0</v>
      </c>
      <c r="F70" s="124">
        <f t="shared" si="21"/>
        <v>0</v>
      </c>
      <c r="G70" s="124">
        <f t="shared" si="21"/>
        <v>0</v>
      </c>
      <c r="H70" s="124">
        <f t="shared" si="21"/>
        <v>0</v>
      </c>
      <c r="I70" s="124">
        <f t="shared" si="21"/>
        <v>0</v>
      </c>
      <c r="J70" s="124">
        <f t="shared" si="21"/>
        <v>0</v>
      </c>
      <c r="K70" s="124">
        <f t="shared" si="21"/>
        <v>0</v>
      </c>
      <c r="L70" s="124">
        <f t="shared" si="21"/>
        <v>0</v>
      </c>
      <c r="M70" s="124">
        <f t="shared" si="21"/>
        <v>0</v>
      </c>
      <c r="N70" s="124">
        <f t="shared" si="21"/>
        <v>0</v>
      </c>
      <c r="O70" s="124">
        <f t="shared" si="21"/>
        <v>0</v>
      </c>
      <c r="P70" s="125">
        <f t="shared" si="21"/>
        <v>0</v>
      </c>
    </row>
    <row r="71" spans="2:16" x14ac:dyDescent="0.25">
      <c r="B71" s="115"/>
      <c r="C71" s="116" t="str">
        <f>Categories!$B$51</f>
        <v>Employer Payroll Taxes</v>
      </c>
      <c r="D71" s="117">
        <f t="shared" ref="D71:O73" si="22">ROUND(SUMIFS(Txn_Ded,Txn_Cat,$C71,Txn_Date,"&gt;="&amp;D$9,Txn_Date,"&lt;="&amp;EOMONTH(D$9,0)),2)</f>
        <v>0</v>
      </c>
      <c r="E71" s="117">
        <f t="shared" si="22"/>
        <v>0</v>
      </c>
      <c r="F71" s="117">
        <f t="shared" si="22"/>
        <v>0</v>
      </c>
      <c r="G71" s="117">
        <f t="shared" si="22"/>
        <v>0</v>
      </c>
      <c r="H71" s="117">
        <f t="shared" si="22"/>
        <v>0</v>
      </c>
      <c r="I71" s="117">
        <f t="shared" si="22"/>
        <v>0</v>
      </c>
      <c r="J71" s="117">
        <f t="shared" si="22"/>
        <v>0</v>
      </c>
      <c r="K71" s="117">
        <f t="shared" si="22"/>
        <v>0</v>
      </c>
      <c r="L71" s="117">
        <f t="shared" si="22"/>
        <v>0</v>
      </c>
      <c r="M71" s="117">
        <f t="shared" si="22"/>
        <v>0</v>
      </c>
      <c r="N71" s="117">
        <f t="shared" si="22"/>
        <v>0</v>
      </c>
      <c r="O71" s="117">
        <f t="shared" si="22"/>
        <v>0</v>
      </c>
      <c r="P71" s="118">
        <f>ROUND(SUMIFS(Txn_Ded,Txn_Cat,$C71,Txn_Date,"&gt;="&amp;Yr_Start,Txn_Date,"&lt;="&amp;Yr_End),2)</f>
        <v>0</v>
      </c>
    </row>
    <row r="72" spans="2:16" x14ac:dyDescent="0.25">
      <c r="B72" s="119"/>
      <c r="C72" s="120" t="str">
        <f>Categories!$B$61</f>
        <v>Professional Licenses - State Board</v>
      </c>
      <c r="D72" s="121">
        <f t="shared" si="22"/>
        <v>0</v>
      </c>
      <c r="E72" s="121">
        <f t="shared" si="22"/>
        <v>0</v>
      </c>
      <c r="F72" s="121">
        <f t="shared" si="22"/>
        <v>0</v>
      </c>
      <c r="G72" s="121">
        <f t="shared" si="22"/>
        <v>0</v>
      </c>
      <c r="H72" s="121">
        <f t="shared" si="22"/>
        <v>0</v>
      </c>
      <c r="I72" s="121">
        <f t="shared" si="22"/>
        <v>0</v>
      </c>
      <c r="J72" s="121">
        <f t="shared" si="22"/>
        <v>0</v>
      </c>
      <c r="K72" s="121">
        <f t="shared" si="22"/>
        <v>0</v>
      </c>
      <c r="L72" s="121">
        <f t="shared" si="22"/>
        <v>0</v>
      </c>
      <c r="M72" s="121">
        <f t="shared" si="22"/>
        <v>0</v>
      </c>
      <c r="N72" s="121">
        <f t="shared" si="22"/>
        <v>0</v>
      </c>
      <c r="O72" s="121">
        <f t="shared" si="22"/>
        <v>0</v>
      </c>
      <c r="P72" s="122">
        <f>ROUND(SUMIFS(Txn_Ded,Txn_Cat,$C72,Txn_Date,"&gt;="&amp;Yr_Start,Txn_Date,"&lt;="&amp;Yr_End),2)</f>
        <v>0</v>
      </c>
    </row>
    <row r="73" spans="2:16" x14ac:dyDescent="0.25">
      <c r="B73" s="115"/>
      <c r="C73" s="116" t="str">
        <f>Categories!$B$62</f>
        <v>DEA Registration &amp; Controlled Substance Fees</v>
      </c>
      <c r="D73" s="117">
        <f t="shared" si="22"/>
        <v>0</v>
      </c>
      <c r="E73" s="117">
        <f t="shared" si="22"/>
        <v>0</v>
      </c>
      <c r="F73" s="117">
        <f t="shared" si="22"/>
        <v>0</v>
      </c>
      <c r="G73" s="117">
        <f t="shared" si="22"/>
        <v>0</v>
      </c>
      <c r="H73" s="117">
        <f t="shared" si="22"/>
        <v>0</v>
      </c>
      <c r="I73" s="117">
        <f t="shared" si="22"/>
        <v>0</v>
      </c>
      <c r="J73" s="117">
        <f t="shared" si="22"/>
        <v>0</v>
      </c>
      <c r="K73" s="117">
        <f t="shared" si="22"/>
        <v>0</v>
      </c>
      <c r="L73" s="117">
        <f t="shared" si="22"/>
        <v>0</v>
      </c>
      <c r="M73" s="117">
        <f t="shared" si="22"/>
        <v>0</v>
      </c>
      <c r="N73" s="117">
        <f t="shared" si="22"/>
        <v>0</v>
      </c>
      <c r="O73" s="117">
        <f t="shared" si="22"/>
        <v>0</v>
      </c>
      <c r="P73" s="118">
        <f>ROUND(SUMIFS(Txn_Ded,Txn_Cat,$C73,Txn_Date,"&gt;="&amp;Yr_Start,Txn_Date,"&lt;="&amp;Yr_End),2)</f>
        <v>0</v>
      </c>
    </row>
    <row r="74" spans="2:16" ht="8.1" customHeight="1" x14ac:dyDescent="0.25"/>
    <row r="75" spans="2:16" ht="33.75" x14ac:dyDescent="0.25">
      <c r="B75" s="123" t="str">
        <f>IF(OR('2. Setup'!$C$9="",'2. Setup'!$C$9="Not sure - ask my accountant"),"TAX CLASSIFICATION NOT SET",IF(OR('2. Setup'!$C$9="Sole Proprietor",'2. Setup'!$C$9="Single-Member LLC (disregarded)"),"24a",IF('2. Setup'!$C$9="S-Corporation","20",IF('2. Setup'!$C$9="Partnership / Multi-Member LLC","1065 NOT MAPPED","1120 NOT MAPPED"))))</f>
        <v>TAX CLASSIFICATION NOT SET</v>
      </c>
      <c r="C75" s="112" t="str">
        <f>IF(OR('2. Setup'!$C$9="",'2. Setup'!$C$9="Not sure - ask my accountant"),"Grouped as Schedule C line 24a",IF(OR('2. Setup'!$C$9="Sole Proprietor",'2. Setup'!$C$9="Single-Member LLC (disregarded)"),IFERROR(IF(INDEX(SCL_Pilot,MATCH("24a",SCL_Line,0))="approved_for_pilot",INDEX(SCL_Caption,MATCH("24a",SCL_Line,0)),"Schedule C line 24a - CAPTION PENDING APPROVAL"),"Schedule C line 24a - NO CAPTION ON THE TAX RULES SHEET"),IF('2. Setup'!$C$9="S-Corporation",IFERROR(IF(INDEX(S1120_Pilot,MATCH("20",S1120_Line,0))="approved_for_pilot",INDEX(S1120_Caption,MATCH("20",S1120_Line,0)),"Form 1120-S line 20 - CAPTION PENDING APPROVAL"),"Form 1120-S line 20 - NO CAPTION ON THE TAX RULES SHEET"),"Grouped as Schedule C line 24a")))</f>
        <v>Grouped as Schedule C line 24a</v>
      </c>
      <c r="D75" s="124">
        <f t="shared" ref="D75:P75" si="23">ROUND(SUM(D76:D76),2)</f>
        <v>0</v>
      </c>
      <c r="E75" s="124">
        <f t="shared" si="23"/>
        <v>0</v>
      </c>
      <c r="F75" s="124">
        <f t="shared" si="23"/>
        <v>0</v>
      </c>
      <c r="G75" s="124">
        <f t="shared" si="23"/>
        <v>0</v>
      </c>
      <c r="H75" s="124">
        <f t="shared" si="23"/>
        <v>0</v>
      </c>
      <c r="I75" s="124">
        <f t="shared" si="23"/>
        <v>0</v>
      </c>
      <c r="J75" s="124">
        <f t="shared" si="23"/>
        <v>0</v>
      </c>
      <c r="K75" s="124">
        <f t="shared" si="23"/>
        <v>0</v>
      </c>
      <c r="L75" s="124">
        <f t="shared" si="23"/>
        <v>0</v>
      </c>
      <c r="M75" s="124">
        <f t="shared" si="23"/>
        <v>0</v>
      </c>
      <c r="N75" s="124">
        <f t="shared" si="23"/>
        <v>0</v>
      </c>
      <c r="O75" s="124">
        <f t="shared" si="23"/>
        <v>0</v>
      </c>
      <c r="P75" s="125">
        <f t="shared" si="23"/>
        <v>0</v>
      </c>
    </row>
    <row r="76" spans="2:16" x14ac:dyDescent="0.25">
      <c r="B76" s="119"/>
      <c r="C76" s="120" t="str">
        <f>Categories!$B$76</f>
        <v>Travel - Conferences &amp; Lodging</v>
      </c>
      <c r="D76" s="121">
        <f t="shared" ref="D76:O76" si="24">ROUND(SUMIFS(Txn_Ded,Txn_Cat,$C76,Txn_Date,"&gt;="&amp;D$9,Txn_Date,"&lt;="&amp;EOMONTH(D$9,0)),2)</f>
        <v>0</v>
      </c>
      <c r="E76" s="121">
        <f t="shared" si="24"/>
        <v>0</v>
      </c>
      <c r="F76" s="121">
        <f t="shared" si="24"/>
        <v>0</v>
      </c>
      <c r="G76" s="121">
        <f t="shared" si="24"/>
        <v>0</v>
      </c>
      <c r="H76" s="121">
        <f t="shared" si="24"/>
        <v>0</v>
      </c>
      <c r="I76" s="121">
        <f t="shared" si="24"/>
        <v>0</v>
      </c>
      <c r="J76" s="121">
        <f t="shared" si="24"/>
        <v>0</v>
      </c>
      <c r="K76" s="121">
        <f t="shared" si="24"/>
        <v>0</v>
      </c>
      <c r="L76" s="121">
        <f t="shared" si="24"/>
        <v>0</v>
      </c>
      <c r="M76" s="121">
        <f t="shared" si="24"/>
        <v>0</v>
      </c>
      <c r="N76" s="121">
        <f t="shared" si="24"/>
        <v>0</v>
      </c>
      <c r="O76" s="121">
        <f t="shared" si="24"/>
        <v>0</v>
      </c>
      <c r="P76" s="122">
        <f>ROUND(SUMIFS(Txn_Ded,Txn_Cat,$C76,Txn_Date,"&gt;="&amp;Yr_Start,Txn_Date,"&lt;="&amp;Yr_End),2)</f>
        <v>0</v>
      </c>
    </row>
    <row r="77" spans="2:16" ht="8.1" customHeight="1" x14ac:dyDescent="0.25"/>
    <row r="78" spans="2:16" ht="33.75" x14ac:dyDescent="0.25">
      <c r="B78" s="123" t="str">
        <f>IF(OR('2. Setup'!$C$9="",'2. Setup'!$C$9="Not sure - ask my accountant"),"TAX CLASSIFICATION NOT SET",IF(OR('2. Setup'!$C$9="Sole Proprietor",'2. Setup'!$C$9="Single-Member LLC (disregarded)"),"25",IF('2. Setup'!$C$9="S-Corporation","20",IF('2. Setup'!$C$9="Partnership / Multi-Member LLC","1065 NOT MAPPED","1120 NOT MAPPED"))))</f>
        <v>TAX CLASSIFICATION NOT SET</v>
      </c>
      <c r="C78" s="112" t="str">
        <f>IF(OR('2. Setup'!$C$9="",'2. Setup'!$C$9="Not sure - ask my accountant"),"Grouped as Schedule C line 25",IF(OR('2. Setup'!$C$9="Sole Proprietor",'2. Setup'!$C$9="Single-Member LLC (disregarded)"),IFERROR(IF(INDEX(SCL_Pilot,MATCH("25",SCL_Line,0))="approved_for_pilot",INDEX(SCL_Caption,MATCH("25",SCL_Line,0)),"Schedule C line 25 - CAPTION PENDING APPROVAL"),"Schedule C line 25 - NO CAPTION ON THE TAX RULES SHEET"),IF('2. Setup'!$C$9="S-Corporation",IFERROR(IF(INDEX(S1120_Pilot,MATCH("20",S1120_Line,0))="approved_for_pilot",INDEX(S1120_Caption,MATCH("20",S1120_Line,0)),"Form 1120-S line 20 - CAPTION PENDING APPROVAL"),"Form 1120-S line 20 - NO CAPTION ON THE TAX RULES SHEET"),"Grouped as Schedule C line 25")))</f>
        <v>Grouped as Schedule C line 25</v>
      </c>
      <c r="D78" s="124">
        <f t="shared" ref="D78:P78" si="25">ROUND(SUM(D79:D79),2)</f>
        <v>0</v>
      </c>
      <c r="E78" s="124">
        <f t="shared" si="25"/>
        <v>0</v>
      </c>
      <c r="F78" s="124">
        <f t="shared" si="25"/>
        <v>0</v>
      </c>
      <c r="G78" s="124">
        <f t="shared" si="25"/>
        <v>0</v>
      </c>
      <c r="H78" s="124">
        <f t="shared" si="25"/>
        <v>0</v>
      </c>
      <c r="I78" s="124">
        <f t="shared" si="25"/>
        <v>0</v>
      </c>
      <c r="J78" s="124">
        <f t="shared" si="25"/>
        <v>0</v>
      </c>
      <c r="K78" s="124">
        <f t="shared" si="25"/>
        <v>0</v>
      </c>
      <c r="L78" s="124">
        <f t="shared" si="25"/>
        <v>0</v>
      </c>
      <c r="M78" s="124">
        <f t="shared" si="25"/>
        <v>0</v>
      </c>
      <c r="N78" s="124">
        <f t="shared" si="25"/>
        <v>0</v>
      </c>
      <c r="O78" s="124">
        <f t="shared" si="25"/>
        <v>0</v>
      </c>
      <c r="P78" s="125">
        <f t="shared" si="25"/>
        <v>0</v>
      </c>
    </row>
    <row r="79" spans="2:16" x14ac:dyDescent="0.25">
      <c r="B79" s="115"/>
      <c r="C79" s="116" t="str">
        <f>Categories!$B$35</f>
        <v>Utilities</v>
      </c>
      <c r="D79" s="117">
        <f t="shared" ref="D79:O79" si="26">ROUND(SUMIFS(Txn_Ded,Txn_Cat,$C79,Txn_Date,"&gt;="&amp;D$9,Txn_Date,"&lt;="&amp;EOMONTH(D$9,0)),2)</f>
        <v>0</v>
      </c>
      <c r="E79" s="117">
        <f t="shared" si="26"/>
        <v>0</v>
      </c>
      <c r="F79" s="117">
        <f t="shared" si="26"/>
        <v>0</v>
      </c>
      <c r="G79" s="117">
        <f t="shared" si="26"/>
        <v>0</v>
      </c>
      <c r="H79" s="117">
        <f t="shared" si="26"/>
        <v>0</v>
      </c>
      <c r="I79" s="117">
        <f t="shared" si="26"/>
        <v>0</v>
      </c>
      <c r="J79" s="117">
        <f t="shared" si="26"/>
        <v>0</v>
      </c>
      <c r="K79" s="117">
        <f t="shared" si="26"/>
        <v>0</v>
      </c>
      <c r="L79" s="117">
        <f t="shared" si="26"/>
        <v>0</v>
      </c>
      <c r="M79" s="117">
        <f t="shared" si="26"/>
        <v>0</v>
      </c>
      <c r="N79" s="117">
        <f t="shared" si="26"/>
        <v>0</v>
      </c>
      <c r="O79" s="117">
        <f t="shared" si="26"/>
        <v>0</v>
      </c>
      <c r="P79" s="118">
        <f>ROUND(SUMIFS(Txn_Ded,Txn_Cat,$C79,Txn_Date,"&gt;="&amp;Yr_Start,Txn_Date,"&lt;="&amp;Yr_End),2)</f>
        <v>0</v>
      </c>
    </row>
    <row r="80" spans="2:16" ht="8.1" customHeight="1" x14ac:dyDescent="0.25"/>
    <row r="81" spans="2:16" ht="33.75" x14ac:dyDescent="0.25">
      <c r="B81" s="123" t="str">
        <f>IF(OR('2. Setup'!$C$9="",'2. Setup'!$C$9="Not sure - ask my accountant"),"TAX CLASSIFICATION NOT SET",IF(OR('2. Setup'!$C$9="Sole Proprietor",'2. Setup'!$C$9="Single-Member LLC (disregarded)"),"27b",IF('2. Setup'!$C$9="S-Corporation","20",IF('2. Setup'!$C$9="Partnership / Multi-Member LLC","1065 NOT MAPPED","1120 NOT MAPPED"))))</f>
        <v>TAX CLASSIFICATION NOT SET</v>
      </c>
      <c r="C81" s="112" t="str">
        <f>IF(OR('2. Setup'!$C$9="",'2. Setup'!$C$9="Not sure - ask my accountant"),"Grouped as Schedule C line 27b",IF(OR('2. Setup'!$C$9="Sole Proprietor",'2. Setup'!$C$9="Single-Member LLC (disregarded)"),IFERROR(IF(INDEX(SCL_Pilot,MATCH("27b",SCL_Line,0))="approved_for_pilot",INDEX(SCL_Caption,MATCH("27b",SCL_Line,0)),"Schedule C line 27b - CAPTION PENDING APPROVAL"),"Schedule C line 27b - NO CAPTION ON THE TAX RULES SHEET"),IF('2. Setup'!$C$9="S-Corporation",IFERROR(IF(INDEX(S1120_Pilot,MATCH("20",S1120_Line,0))="approved_for_pilot",INDEX(S1120_Caption,MATCH("20",S1120_Line,0)),"Form 1120-S line 20 - CAPTION PENDING APPROVAL"),"Form 1120-S line 20 - NO CAPTION ON THE TAX RULES SHEET"),"Grouped as Schedule C line 27b")))</f>
        <v>Grouped as Schedule C line 27b</v>
      </c>
      <c r="D81" s="124">
        <f t="shared" ref="D81:P81" si="27">ROUND(SUM(D82:D94),2)</f>
        <v>0</v>
      </c>
      <c r="E81" s="124">
        <f t="shared" si="27"/>
        <v>0</v>
      </c>
      <c r="F81" s="124">
        <f t="shared" si="27"/>
        <v>0</v>
      </c>
      <c r="G81" s="124">
        <f t="shared" si="27"/>
        <v>0</v>
      </c>
      <c r="H81" s="124">
        <f t="shared" si="27"/>
        <v>0</v>
      </c>
      <c r="I81" s="124">
        <f t="shared" si="27"/>
        <v>0</v>
      </c>
      <c r="J81" s="124">
        <f t="shared" si="27"/>
        <v>0</v>
      </c>
      <c r="K81" s="124">
        <f t="shared" si="27"/>
        <v>0</v>
      </c>
      <c r="L81" s="124">
        <f t="shared" si="27"/>
        <v>0</v>
      </c>
      <c r="M81" s="124">
        <f t="shared" si="27"/>
        <v>0</v>
      </c>
      <c r="N81" s="124">
        <f t="shared" si="27"/>
        <v>0</v>
      </c>
      <c r="O81" s="124">
        <f t="shared" si="27"/>
        <v>0</v>
      </c>
      <c r="P81" s="125">
        <f t="shared" si="27"/>
        <v>0</v>
      </c>
    </row>
    <row r="82" spans="2:16" x14ac:dyDescent="0.25">
      <c r="B82" s="119"/>
      <c r="C82" s="120" t="str">
        <f>Categories!$B$28</f>
        <v>Laboratory &amp; Imaging Fees (Outside)</v>
      </c>
      <c r="D82" s="121">
        <f t="shared" ref="D82:O94" si="28">ROUND(SUMIFS(Txn_Ded,Txn_Cat,$C82,Txn_Date,"&gt;="&amp;D$9,Txn_Date,"&lt;="&amp;EOMONTH(D$9,0)),2)</f>
        <v>0</v>
      </c>
      <c r="E82" s="121">
        <f t="shared" si="28"/>
        <v>0</v>
      </c>
      <c r="F82" s="121">
        <f t="shared" si="28"/>
        <v>0</v>
      </c>
      <c r="G82" s="121">
        <f t="shared" si="28"/>
        <v>0</v>
      </c>
      <c r="H82" s="121">
        <f t="shared" si="28"/>
        <v>0</v>
      </c>
      <c r="I82" s="121">
        <f t="shared" si="28"/>
        <v>0</v>
      </c>
      <c r="J82" s="121">
        <f t="shared" si="28"/>
        <v>0</v>
      </c>
      <c r="K82" s="121">
        <f t="shared" si="28"/>
        <v>0</v>
      </c>
      <c r="L82" s="121">
        <f t="shared" si="28"/>
        <v>0</v>
      </c>
      <c r="M82" s="121">
        <f t="shared" si="28"/>
        <v>0</v>
      </c>
      <c r="N82" s="121">
        <f t="shared" si="28"/>
        <v>0</v>
      </c>
      <c r="O82" s="121">
        <f t="shared" si="28"/>
        <v>0</v>
      </c>
      <c r="P82" s="122">
        <f t="shared" ref="P82:P94" si="29">ROUND(SUMIFS(Txn_Ded,Txn_Cat,$C82,Txn_Date,"&gt;="&amp;Yr_Start,Txn_Date,"&lt;="&amp;Yr_End),2)</f>
        <v>0</v>
      </c>
    </row>
    <row r="83" spans="2:16" x14ac:dyDescent="0.25">
      <c r="B83" s="115"/>
      <c r="C83" s="116" t="str">
        <f>Categories!$B$31</f>
        <v>Medical Waste &amp; Sharps Disposal</v>
      </c>
      <c r="D83" s="117">
        <f t="shared" si="28"/>
        <v>0</v>
      </c>
      <c r="E83" s="117">
        <f t="shared" si="28"/>
        <v>0</v>
      </c>
      <c r="F83" s="117">
        <f t="shared" si="28"/>
        <v>0</v>
      </c>
      <c r="G83" s="117">
        <f t="shared" si="28"/>
        <v>0</v>
      </c>
      <c r="H83" s="117">
        <f t="shared" si="28"/>
        <v>0</v>
      </c>
      <c r="I83" s="117">
        <f t="shared" si="28"/>
        <v>0</v>
      </c>
      <c r="J83" s="117">
        <f t="shared" si="28"/>
        <v>0</v>
      </c>
      <c r="K83" s="117">
        <f t="shared" si="28"/>
        <v>0</v>
      </c>
      <c r="L83" s="117">
        <f t="shared" si="28"/>
        <v>0</v>
      </c>
      <c r="M83" s="117">
        <f t="shared" si="28"/>
        <v>0</v>
      </c>
      <c r="N83" s="117">
        <f t="shared" si="28"/>
        <v>0</v>
      </c>
      <c r="O83" s="117">
        <f t="shared" si="28"/>
        <v>0</v>
      </c>
      <c r="P83" s="118">
        <f t="shared" si="29"/>
        <v>0</v>
      </c>
    </row>
    <row r="84" spans="2:16" x14ac:dyDescent="0.25">
      <c r="B84" s="119"/>
      <c r="C84" s="120" t="str">
        <f>Categories!$B$37</f>
        <v>Janitorial &amp; Facilities Services</v>
      </c>
      <c r="D84" s="121">
        <f t="shared" si="28"/>
        <v>0</v>
      </c>
      <c r="E84" s="121">
        <f t="shared" si="28"/>
        <v>0</v>
      </c>
      <c r="F84" s="121">
        <f t="shared" si="28"/>
        <v>0</v>
      </c>
      <c r="G84" s="121">
        <f t="shared" si="28"/>
        <v>0</v>
      </c>
      <c r="H84" s="121">
        <f t="shared" si="28"/>
        <v>0</v>
      </c>
      <c r="I84" s="121">
        <f t="shared" si="28"/>
        <v>0</v>
      </c>
      <c r="J84" s="121">
        <f t="shared" si="28"/>
        <v>0</v>
      </c>
      <c r="K84" s="121">
        <f t="shared" si="28"/>
        <v>0</v>
      </c>
      <c r="L84" s="121">
        <f t="shared" si="28"/>
        <v>0</v>
      </c>
      <c r="M84" s="121">
        <f t="shared" si="28"/>
        <v>0</v>
      </c>
      <c r="N84" s="121">
        <f t="shared" si="28"/>
        <v>0</v>
      </c>
      <c r="O84" s="121">
        <f t="shared" si="28"/>
        <v>0</v>
      </c>
      <c r="P84" s="122">
        <f t="shared" si="29"/>
        <v>0</v>
      </c>
    </row>
    <row r="85" spans="2:16" x14ac:dyDescent="0.25">
      <c r="B85" s="115"/>
      <c r="C85" s="116" t="str">
        <f>Categories!$B$41</f>
        <v>Answering Service / After-Hours Coverage</v>
      </c>
      <c r="D85" s="117">
        <f t="shared" si="28"/>
        <v>0</v>
      </c>
      <c r="E85" s="117">
        <f t="shared" si="28"/>
        <v>0</v>
      </c>
      <c r="F85" s="117">
        <f t="shared" si="28"/>
        <v>0</v>
      </c>
      <c r="G85" s="117">
        <f t="shared" si="28"/>
        <v>0</v>
      </c>
      <c r="H85" s="117">
        <f t="shared" si="28"/>
        <v>0</v>
      </c>
      <c r="I85" s="117">
        <f t="shared" si="28"/>
        <v>0</v>
      </c>
      <c r="J85" s="117">
        <f t="shared" si="28"/>
        <v>0</v>
      </c>
      <c r="K85" s="117">
        <f t="shared" si="28"/>
        <v>0</v>
      </c>
      <c r="L85" s="117">
        <f t="shared" si="28"/>
        <v>0</v>
      </c>
      <c r="M85" s="117">
        <f t="shared" si="28"/>
        <v>0</v>
      </c>
      <c r="N85" s="117">
        <f t="shared" si="28"/>
        <v>0</v>
      </c>
      <c r="O85" s="117">
        <f t="shared" si="28"/>
        <v>0</v>
      </c>
      <c r="P85" s="118">
        <f t="shared" si="29"/>
        <v>0</v>
      </c>
    </row>
    <row r="86" spans="2:16" x14ac:dyDescent="0.25">
      <c r="B86" s="119"/>
      <c r="C86" s="120" t="str">
        <f>Categories!$B$43</f>
        <v>Billing &amp; Clearinghouse Fees</v>
      </c>
      <c r="D86" s="121">
        <f t="shared" si="28"/>
        <v>0</v>
      </c>
      <c r="E86" s="121">
        <f t="shared" si="28"/>
        <v>0</v>
      </c>
      <c r="F86" s="121">
        <f t="shared" si="28"/>
        <v>0</v>
      </c>
      <c r="G86" s="121">
        <f t="shared" si="28"/>
        <v>0</v>
      </c>
      <c r="H86" s="121">
        <f t="shared" si="28"/>
        <v>0</v>
      </c>
      <c r="I86" s="121">
        <f t="shared" si="28"/>
        <v>0</v>
      </c>
      <c r="J86" s="121">
        <f t="shared" si="28"/>
        <v>0</v>
      </c>
      <c r="K86" s="121">
        <f t="shared" si="28"/>
        <v>0</v>
      </c>
      <c r="L86" s="121">
        <f t="shared" si="28"/>
        <v>0</v>
      </c>
      <c r="M86" s="121">
        <f t="shared" si="28"/>
        <v>0</v>
      </c>
      <c r="N86" s="121">
        <f t="shared" si="28"/>
        <v>0</v>
      </c>
      <c r="O86" s="121">
        <f t="shared" si="28"/>
        <v>0</v>
      </c>
      <c r="P86" s="122">
        <f t="shared" si="29"/>
        <v>0</v>
      </c>
    </row>
    <row r="87" spans="2:16" x14ac:dyDescent="0.25">
      <c r="B87" s="115"/>
      <c r="C87" s="116" t="str">
        <f>Categories!$B$46</f>
        <v>IT Support &amp; Cybersecurity</v>
      </c>
      <c r="D87" s="117">
        <f t="shared" si="28"/>
        <v>0</v>
      </c>
      <c r="E87" s="117">
        <f t="shared" si="28"/>
        <v>0</v>
      </c>
      <c r="F87" s="117">
        <f t="shared" si="28"/>
        <v>0</v>
      </c>
      <c r="G87" s="117">
        <f t="shared" si="28"/>
        <v>0</v>
      </c>
      <c r="H87" s="117">
        <f t="shared" si="28"/>
        <v>0</v>
      </c>
      <c r="I87" s="117">
        <f t="shared" si="28"/>
        <v>0</v>
      </c>
      <c r="J87" s="117">
        <f t="shared" si="28"/>
        <v>0</v>
      </c>
      <c r="K87" s="117">
        <f t="shared" si="28"/>
        <v>0</v>
      </c>
      <c r="L87" s="117">
        <f t="shared" si="28"/>
        <v>0</v>
      </c>
      <c r="M87" s="117">
        <f t="shared" si="28"/>
        <v>0</v>
      </c>
      <c r="N87" s="117">
        <f t="shared" si="28"/>
        <v>0</v>
      </c>
      <c r="O87" s="117">
        <f t="shared" si="28"/>
        <v>0</v>
      </c>
      <c r="P87" s="118">
        <f t="shared" si="29"/>
        <v>0</v>
      </c>
    </row>
    <row r="88" spans="2:16" x14ac:dyDescent="0.25">
      <c r="B88" s="119"/>
      <c r="C88" s="120" t="str">
        <f>Categories!$B$47</f>
        <v>HIPAA Compliance &amp; Secure Communications</v>
      </c>
      <c r="D88" s="121">
        <f t="shared" si="28"/>
        <v>0</v>
      </c>
      <c r="E88" s="121">
        <f t="shared" si="28"/>
        <v>0</v>
      </c>
      <c r="F88" s="121">
        <f t="shared" si="28"/>
        <v>0</v>
      </c>
      <c r="G88" s="121">
        <f t="shared" si="28"/>
        <v>0</v>
      </c>
      <c r="H88" s="121">
        <f t="shared" si="28"/>
        <v>0</v>
      </c>
      <c r="I88" s="121">
        <f t="shared" si="28"/>
        <v>0</v>
      </c>
      <c r="J88" s="121">
        <f t="shared" si="28"/>
        <v>0</v>
      </c>
      <c r="K88" s="121">
        <f t="shared" si="28"/>
        <v>0</v>
      </c>
      <c r="L88" s="121">
        <f t="shared" si="28"/>
        <v>0</v>
      </c>
      <c r="M88" s="121">
        <f t="shared" si="28"/>
        <v>0</v>
      </c>
      <c r="N88" s="121">
        <f t="shared" si="28"/>
        <v>0</v>
      </c>
      <c r="O88" s="121">
        <f t="shared" si="28"/>
        <v>0</v>
      </c>
      <c r="P88" s="122">
        <f t="shared" si="29"/>
        <v>0</v>
      </c>
    </row>
    <row r="89" spans="2:16" x14ac:dyDescent="0.25">
      <c r="B89" s="115"/>
      <c r="C89" s="116" t="str">
        <f>Categories!$B$57</f>
        <v>Staff Training, Recruiting &amp; Credentialing</v>
      </c>
      <c r="D89" s="117">
        <f t="shared" si="28"/>
        <v>0</v>
      </c>
      <c r="E89" s="117">
        <f t="shared" si="28"/>
        <v>0</v>
      </c>
      <c r="F89" s="117">
        <f t="shared" si="28"/>
        <v>0</v>
      </c>
      <c r="G89" s="117">
        <f t="shared" si="28"/>
        <v>0</v>
      </c>
      <c r="H89" s="117">
        <f t="shared" si="28"/>
        <v>0</v>
      </c>
      <c r="I89" s="117">
        <f t="shared" si="28"/>
        <v>0</v>
      </c>
      <c r="J89" s="117">
        <f t="shared" si="28"/>
        <v>0</v>
      </c>
      <c r="K89" s="117">
        <f t="shared" si="28"/>
        <v>0</v>
      </c>
      <c r="L89" s="117">
        <f t="shared" si="28"/>
        <v>0</v>
      </c>
      <c r="M89" s="117">
        <f t="shared" si="28"/>
        <v>0</v>
      </c>
      <c r="N89" s="117">
        <f t="shared" si="28"/>
        <v>0</v>
      </c>
      <c r="O89" s="117">
        <f t="shared" si="28"/>
        <v>0</v>
      </c>
      <c r="P89" s="118">
        <f t="shared" si="29"/>
        <v>0</v>
      </c>
    </row>
    <row r="90" spans="2:16" x14ac:dyDescent="0.25">
      <c r="B90" s="119"/>
      <c r="C90" s="120" t="str">
        <f>Categories!$B$63</f>
        <v>Hospital Privileges &amp; Credentialing</v>
      </c>
      <c r="D90" s="121">
        <f t="shared" si="28"/>
        <v>0</v>
      </c>
      <c r="E90" s="121">
        <f t="shared" si="28"/>
        <v>0</v>
      </c>
      <c r="F90" s="121">
        <f t="shared" si="28"/>
        <v>0</v>
      </c>
      <c r="G90" s="121">
        <f t="shared" si="28"/>
        <v>0</v>
      </c>
      <c r="H90" s="121">
        <f t="shared" si="28"/>
        <v>0</v>
      </c>
      <c r="I90" s="121">
        <f t="shared" si="28"/>
        <v>0</v>
      </c>
      <c r="J90" s="121">
        <f t="shared" si="28"/>
        <v>0</v>
      </c>
      <c r="K90" s="121">
        <f t="shared" si="28"/>
        <v>0</v>
      </c>
      <c r="L90" s="121">
        <f t="shared" si="28"/>
        <v>0</v>
      </c>
      <c r="M90" s="121">
        <f t="shared" si="28"/>
        <v>0</v>
      </c>
      <c r="N90" s="121">
        <f t="shared" si="28"/>
        <v>0</v>
      </c>
      <c r="O90" s="121">
        <f t="shared" si="28"/>
        <v>0</v>
      </c>
      <c r="P90" s="122">
        <f t="shared" si="29"/>
        <v>0</v>
      </c>
    </row>
    <row r="91" spans="2:16" x14ac:dyDescent="0.25">
      <c r="B91" s="115"/>
      <c r="C91" s="116" t="str">
        <f>Categories!$B$64</f>
        <v>Professional Memberships &amp; Dues</v>
      </c>
      <c r="D91" s="117">
        <f t="shared" si="28"/>
        <v>0</v>
      </c>
      <c r="E91" s="117">
        <f t="shared" si="28"/>
        <v>0</v>
      </c>
      <c r="F91" s="117">
        <f t="shared" si="28"/>
        <v>0</v>
      </c>
      <c r="G91" s="117">
        <f t="shared" si="28"/>
        <v>0</v>
      </c>
      <c r="H91" s="117">
        <f t="shared" si="28"/>
        <v>0</v>
      </c>
      <c r="I91" s="117">
        <f t="shared" si="28"/>
        <v>0</v>
      </c>
      <c r="J91" s="117">
        <f t="shared" si="28"/>
        <v>0</v>
      </c>
      <c r="K91" s="117">
        <f t="shared" si="28"/>
        <v>0</v>
      </c>
      <c r="L91" s="117">
        <f t="shared" si="28"/>
        <v>0</v>
      </c>
      <c r="M91" s="117">
        <f t="shared" si="28"/>
        <v>0</v>
      </c>
      <c r="N91" s="117">
        <f t="shared" si="28"/>
        <v>0</v>
      </c>
      <c r="O91" s="117">
        <f t="shared" si="28"/>
        <v>0</v>
      </c>
      <c r="P91" s="118">
        <f t="shared" si="29"/>
        <v>0</v>
      </c>
    </row>
    <row r="92" spans="2:16" x14ac:dyDescent="0.25">
      <c r="B92" s="119"/>
      <c r="C92" s="120" t="str">
        <f>Categories!$B$65</f>
        <v>Continuing Education (CME / CE)</v>
      </c>
      <c r="D92" s="121">
        <f t="shared" si="28"/>
        <v>0</v>
      </c>
      <c r="E92" s="121">
        <f t="shared" si="28"/>
        <v>0</v>
      </c>
      <c r="F92" s="121">
        <f t="shared" si="28"/>
        <v>0</v>
      </c>
      <c r="G92" s="121">
        <f t="shared" si="28"/>
        <v>0</v>
      </c>
      <c r="H92" s="121">
        <f t="shared" si="28"/>
        <v>0</v>
      </c>
      <c r="I92" s="121">
        <f t="shared" si="28"/>
        <v>0</v>
      </c>
      <c r="J92" s="121">
        <f t="shared" si="28"/>
        <v>0</v>
      </c>
      <c r="K92" s="121">
        <f t="shared" si="28"/>
        <v>0</v>
      </c>
      <c r="L92" s="121">
        <f t="shared" si="28"/>
        <v>0</v>
      </c>
      <c r="M92" s="121">
        <f t="shared" si="28"/>
        <v>0</v>
      </c>
      <c r="N92" s="121">
        <f t="shared" si="28"/>
        <v>0</v>
      </c>
      <c r="O92" s="121">
        <f t="shared" si="28"/>
        <v>0</v>
      </c>
      <c r="P92" s="122">
        <f t="shared" si="29"/>
        <v>0</v>
      </c>
    </row>
    <row r="93" spans="2:16" x14ac:dyDescent="0.25">
      <c r="B93" s="115"/>
      <c r="C93" s="116" t="str">
        <f>Categories!$B$66</f>
        <v>Books, Journals &amp; Clinical References</v>
      </c>
      <c r="D93" s="117">
        <f t="shared" si="28"/>
        <v>0</v>
      </c>
      <c r="E93" s="117">
        <f t="shared" si="28"/>
        <v>0</v>
      </c>
      <c r="F93" s="117">
        <f t="shared" si="28"/>
        <v>0</v>
      </c>
      <c r="G93" s="117">
        <f t="shared" si="28"/>
        <v>0</v>
      </c>
      <c r="H93" s="117">
        <f t="shared" si="28"/>
        <v>0</v>
      </c>
      <c r="I93" s="117">
        <f t="shared" si="28"/>
        <v>0</v>
      </c>
      <c r="J93" s="117">
        <f t="shared" si="28"/>
        <v>0</v>
      </c>
      <c r="K93" s="117">
        <f t="shared" si="28"/>
        <v>0</v>
      </c>
      <c r="L93" s="117">
        <f t="shared" si="28"/>
        <v>0</v>
      </c>
      <c r="M93" s="117">
        <f t="shared" si="28"/>
        <v>0</v>
      </c>
      <c r="N93" s="117">
        <f t="shared" si="28"/>
        <v>0</v>
      </c>
      <c r="O93" s="117">
        <f t="shared" si="28"/>
        <v>0</v>
      </c>
      <c r="P93" s="118">
        <f t="shared" si="29"/>
        <v>0</v>
      </c>
    </row>
    <row r="94" spans="2:16" x14ac:dyDescent="0.25">
      <c r="B94" s="119"/>
      <c r="C94" s="120" t="str">
        <f>Categories!$B$78</f>
        <v>Bank Fees &amp; Service Charges</v>
      </c>
      <c r="D94" s="121">
        <f t="shared" si="28"/>
        <v>0</v>
      </c>
      <c r="E94" s="121">
        <f t="shared" si="28"/>
        <v>0</v>
      </c>
      <c r="F94" s="121">
        <f t="shared" si="28"/>
        <v>0</v>
      </c>
      <c r="G94" s="121">
        <f t="shared" si="28"/>
        <v>0</v>
      </c>
      <c r="H94" s="121">
        <f t="shared" si="28"/>
        <v>0</v>
      </c>
      <c r="I94" s="121">
        <f t="shared" si="28"/>
        <v>0</v>
      </c>
      <c r="J94" s="121">
        <f t="shared" si="28"/>
        <v>0</v>
      </c>
      <c r="K94" s="121">
        <f t="shared" si="28"/>
        <v>0</v>
      </c>
      <c r="L94" s="121">
        <f t="shared" si="28"/>
        <v>0</v>
      </c>
      <c r="M94" s="121">
        <f t="shared" si="28"/>
        <v>0</v>
      </c>
      <c r="N94" s="121">
        <f t="shared" si="28"/>
        <v>0</v>
      </c>
      <c r="O94" s="121">
        <f t="shared" si="28"/>
        <v>0</v>
      </c>
      <c r="P94" s="122">
        <f t="shared" si="29"/>
        <v>0</v>
      </c>
    </row>
    <row r="95" spans="2:16" ht="8.1" customHeight="1" x14ac:dyDescent="0.25"/>
    <row r="96" spans="2:16" ht="33.75" x14ac:dyDescent="0.25">
      <c r="B96" s="123" t="str">
        <f>IF(OR('2. Setup'!$C$9="",'2. Setup'!$C$9="Not sure - ask my accountant"),"TAX CLASSIFICATION NOT SET","NOT MAPPED")</f>
        <v>TAX CLASSIFICATION NOT SET</v>
      </c>
      <c r="C96" s="112" t="str">
        <f>"NOT YET MAPPED TO A LINE"</f>
        <v>NOT YET MAPPED TO A LINE</v>
      </c>
      <c r="D96" s="124">
        <f t="shared" ref="D96:P96" si="30">ROUND(SUM(D97:D113),2)</f>
        <v>0</v>
      </c>
      <c r="E96" s="124">
        <f t="shared" si="30"/>
        <v>0</v>
      </c>
      <c r="F96" s="124">
        <f t="shared" si="30"/>
        <v>0</v>
      </c>
      <c r="G96" s="124">
        <f t="shared" si="30"/>
        <v>0</v>
      </c>
      <c r="H96" s="124">
        <f t="shared" si="30"/>
        <v>0</v>
      </c>
      <c r="I96" s="124">
        <f t="shared" si="30"/>
        <v>0</v>
      </c>
      <c r="J96" s="124">
        <f t="shared" si="30"/>
        <v>0</v>
      </c>
      <c r="K96" s="124">
        <f t="shared" si="30"/>
        <v>0</v>
      </c>
      <c r="L96" s="124">
        <f t="shared" si="30"/>
        <v>0</v>
      </c>
      <c r="M96" s="124">
        <f t="shared" si="30"/>
        <v>0</v>
      </c>
      <c r="N96" s="124">
        <f t="shared" si="30"/>
        <v>0</v>
      </c>
      <c r="O96" s="124">
        <f t="shared" si="30"/>
        <v>0</v>
      </c>
      <c r="P96" s="125">
        <f t="shared" si="30"/>
        <v>0</v>
      </c>
    </row>
    <row r="97" spans="2:16" x14ac:dyDescent="0.25">
      <c r="B97" s="115"/>
      <c r="C97" s="116" t="str">
        <f>Categories!$B$26</f>
        <v>Optical Frames, Lenses &amp; Lab</v>
      </c>
      <c r="D97" s="117">
        <f t="shared" ref="D97:O106" si="31">ROUND(SUMIFS(Txn_Ded,Txn_Cat,$C97,Txn_Date,"&gt;="&amp;D$9,Txn_Date,"&lt;="&amp;EOMONTH(D$9,0)),2)</f>
        <v>0</v>
      </c>
      <c r="E97" s="117">
        <f t="shared" si="31"/>
        <v>0</v>
      </c>
      <c r="F97" s="117">
        <f t="shared" si="31"/>
        <v>0</v>
      </c>
      <c r="G97" s="117">
        <f t="shared" si="31"/>
        <v>0</v>
      </c>
      <c r="H97" s="117">
        <f t="shared" si="31"/>
        <v>0</v>
      </c>
      <c r="I97" s="117">
        <f t="shared" si="31"/>
        <v>0</v>
      </c>
      <c r="J97" s="117">
        <f t="shared" si="31"/>
        <v>0</v>
      </c>
      <c r="K97" s="117">
        <f t="shared" si="31"/>
        <v>0</v>
      </c>
      <c r="L97" s="117">
        <f t="shared" si="31"/>
        <v>0</v>
      </c>
      <c r="M97" s="117">
        <f t="shared" si="31"/>
        <v>0</v>
      </c>
      <c r="N97" s="117">
        <f t="shared" si="31"/>
        <v>0</v>
      </c>
      <c r="O97" s="117">
        <f t="shared" si="31"/>
        <v>0</v>
      </c>
      <c r="P97" s="118">
        <f t="shared" ref="P97:P113" si="32">ROUND(SUMIFS(Txn_Ded,Txn_Cat,$C97,Txn_Date,"&gt;="&amp;Yr_Start,Txn_Date,"&lt;="&amp;Yr_End),2)</f>
        <v>0</v>
      </c>
    </row>
    <row r="98" spans="2:16" x14ac:dyDescent="0.25">
      <c r="B98" s="119"/>
      <c r="C98" s="120" t="str">
        <f>Categories!$B$29</f>
        <v>Medical Equipment (Small / Under Threshold)</v>
      </c>
      <c r="D98" s="121">
        <f t="shared" si="31"/>
        <v>0</v>
      </c>
      <c r="E98" s="121">
        <f t="shared" si="31"/>
        <v>0</v>
      </c>
      <c r="F98" s="121">
        <f t="shared" si="31"/>
        <v>0</v>
      </c>
      <c r="G98" s="121">
        <f t="shared" si="31"/>
        <v>0</v>
      </c>
      <c r="H98" s="121">
        <f t="shared" si="31"/>
        <v>0</v>
      </c>
      <c r="I98" s="121">
        <f t="shared" si="31"/>
        <v>0</v>
      </c>
      <c r="J98" s="121">
        <f t="shared" si="31"/>
        <v>0</v>
      </c>
      <c r="K98" s="121">
        <f t="shared" si="31"/>
        <v>0</v>
      </c>
      <c r="L98" s="121">
        <f t="shared" si="31"/>
        <v>0</v>
      </c>
      <c r="M98" s="121">
        <f t="shared" si="31"/>
        <v>0</v>
      </c>
      <c r="N98" s="121">
        <f t="shared" si="31"/>
        <v>0</v>
      </c>
      <c r="O98" s="121">
        <f t="shared" si="31"/>
        <v>0</v>
      </c>
      <c r="P98" s="122">
        <f t="shared" si="32"/>
        <v>0</v>
      </c>
    </row>
    <row r="99" spans="2:16" x14ac:dyDescent="0.25">
      <c r="B99" s="115"/>
      <c r="C99" s="116" t="str">
        <f>Categories!$B$33</f>
        <v>Uniforms, Scrubs &amp; Linens</v>
      </c>
      <c r="D99" s="117">
        <f t="shared" si="31"/>
        <v>0</v>
      </c>
      <c r="E99" s="117">
        <f t="shared" si="31"/>
        <v>0</v>
      </c>
      <c r="F99" s="117">
        <f t="shared" si="31"/>
        <v>0</v>
      </c>
      <c r="G99" s="117">
        <f t="shared" si="31"/>
        <v>0</v>
      </c>
      <c r="H99" s="117">
        <f t="shared" si="31"/>
        <v>0</v>
      </c>
      <c r="I99" s="117">
        <f t="shared" si="31"/>
        <v>0</v>
      </c>
      <c r="J99" s="117">
        <f t="shared" si="31"/>
        <v>0</v>
      </c>
      <c r="K99" s="117">
        <f t="shared" si="31"/>
        <v>0</v>
      </c>
      <c r="L99" s="117">
        <f t="shared" si="31"/>
        <v>0</v>
      </c>
      <c r="M99" s="117">
        <f t="shared" si="31"/>
        <v>0</v>
      </c>
      <c r="N99" s="117">
        <f t="shared" si="31"/>
        <v>0</v>
      </c>
      <c r="O99" s="117">
        <f t="shared" si="31"/>
        <v>0</v>
      </c>
      <c r="P99" s="118">
        <f t="shared" si="32"/>
        <v>0</v>
      </c>
    </row>
    <row r="100" spans="2:16" x14ac:dyDescent="0.25">
      <c r="B100" s="119"/>
      <c r="C100" s="120" t="str">
        <f>Categories!$B$36</f>
        <v>Telephone &amp; Internet</v>
      </c>
      <c r="D100" s="121">
        <f t="shared" si="31"/>
        <v>0</v>
      </c>
      <c r="E100" s="121">
        <f t="shared" si="31"/>
        <v>0</v>
      </c>
      <c r="F100" s="121">
        <f t="shared" si="31"/>
        <v>0</v>
      </c>
      <c r="G100" s="121">
        <f t="shared" si="31"/>
        <v>0</v>
      </c>
      <c r="H100" s="121">
        <f t="shared" si="31"/>
        <v>0</v>
      </c>
      <c r="I100" s="121">
        <f t="shared" si="31"/>
        <v>0</v>
      </c>
      <c r="J100" s="121">
        <f t="shared" si="31"/>
        <v>0</v>
      </c>
      <c r="K100" s="121">
        <f t="shared" si="31"/>
        <v>0</v>
      </c>
      <c r="L100" s="121">
        <f t="shared" si="31"/>
        <v>0</v>
      </c>
      <c r="M100" s="121">
        <f t="shared" si="31"/>
        <v>0</v>
      </c>
      <c r="N100" s="121">
        <f t="shared" si="31"/>
        <v>0</v>
      </c>
      <c r="O100" s="121">
        <f t="shared" si="31"/>
        <v>0</v>
      </c>
      <c r="P100" s="122">
        <f t="shared" si="32"/>
        <v>0</v>
      </c>
    </row>
    <row r="101" spans="2:16" x14ac:dyDescent="0.25">
      <c r="B101" s="115"/>
      <c r="C101" s="116" t="str">
        <f>Categories!$B$44</f>
        <v>Merchant Processing Fees</v>
      </c>
      <c r="D101" s="117">
        <f t="shared" si="31"/>
        <v>0</v>
      </c>
      <c r="E101" s="117">
        <f t="shared" si="31"/>
        <v>0</v>
      </c>
      <c r="F101" s="117">
        <f t="shared" si="31"/>
        <v>0</v>
      </c>
      <c r="G101" s="117">
        <f t="shared" si="31"/>
        <v>0</v>
      </c>
      <c r="H101" s="117">
        <f t="shared" si="31"/>
        <v>0</v>
      </c>
      <c r="I101" s="117">
        <f t="shared" si="31"/>
        <v>0</v>
      </c>
      <c r="J101" s="117">
        <f t="shared" si="31"/>
        <v>0</v>
      </c>
      <c r="K101" s="117">
        <f t="shared" si="31"/>
        <v>0</v>
      </c>
      <c r="L101" s="117">
        <f t="shared" si="31"/>
        <v>0</v>
      </c>
      <c r="M101" s="117">
        <f t="shared" si="31"/>
        <v>0</v>
      </c>
      <c r="N101" s="117">
        <f t="shared" si="31"/>
        <v>0</v>
      </c>
      <c r="O101" s="117">
        <f t="shared" si="31"/>
        <v>0</v>
      </c>
      <c r="P101" s="118">
        <f t="shared" si="32"/>
        <v>0</v>
      </c>
    </row>
    <row r="102" spans="2:16" x14ac:dyDescent="0.25">
      <c r="B102" s="119"/>
      <c r="C102" s="120" t="str">
        <f>Categories!$B$49</f>
        <v>Wages - Clinical Staff</v>
      </c>
      <c r="D102" s="121">
        <f t="shared" si="31"/>
        <v>0</v>
      </c>
      <c r="E102" s="121">
        <f t="shared" si="31"/>
        <v>0</v>
      </c>
      <c r="F102" s="121">
        <f t="shared" si="31"/>
        <v>0</v>
      </c>
      <c r="G102" s="121">
        <f t="shared" si="31"/>
        <v>0</v>
      </c>
      <c r="H102" s="121">
        <f t="shared" si="31"/>
        <v>0</v>
      </c>
      <c r="I102" s="121">
        <f t="shared" si="31"/>
        <v>0</v>
      </c>
      <c r="J102" s="121">
        <f t="shared" si="31"/>
        <v>0</v>
      </c>
      <c r="K102" s="121">
        <f t="shared" si="31"/>
        <v>0</v>
      </c>
      <c r="L102" s="121">
        <f t="shared" si="31"/>
        <v>0</v>
      </c>
      <c r="M102" s="121">
        <f t="shared" si="31"/>
        <v>0</v>
      </c>
      <c r="N102" s="121">
        <f t="shared" si="31"/>
        <v>0</v>
      </c>
      <c r="O102" s="121">
        <f t="shared" si="31"/>
        <v>0</v>
      </c>
      <c r="P102" s="122">
        <f t="shared" si="32"/>
        <v>0</v>
      </c>
    </row>
    <row r="103" spans="2:16" x14ac:dyDescent="0.25">
      <c r="B103" s="115"/>
      <c r="C103" s="116" t="str">
        <f>Categories!$B$50</f>
        <v>Wages - Administrative Staff</v>
      </c>
      <c r="D103" s="117">
        <f t="shared" si="31"/>
        <v>0</v>
      </c>
      <c r="E103" s="117">
        <f t="shared" si="31"/>
        <v>0</v>
      </c>
      <c r="F103" s="117">
        <f t="shared" si="31"/>
        <v>0</v>
      </c>
      <c r="G103" s="117">
        <f t="shared" si="31"/>
        <v>0</v>
      </c>
      <c r="H103" s="117">
        <f t="shared" si="31"/>
        <v>0</v>
      </c>
      <c r="I103" s="117">
        <f t="shared" si="31"/>
        <v>0</v>
      </c>
      <c r="J103" s="117">
        <f t="shared" si="31"/>
        <v>0</v>
      </c>
      <c r="K103" s="117">
        <f t="shared" si="31"/>
        <v>0</v>
      </c>
      <c r="L103" s="117">
        <f t="shared" si="31"/>
        <v>0</v>
      </c>
      <c r="M103" s="117">
        <f t="shared" si="31"/>
        <v>0</v>
      </c>
      <c r="N103" s="117">
        <f t="shared" si="31"/>
        <v>0</v>
      </c>
      <c r="O103" s="117">
        <f t="shared" si="31"/>
        <v>0</v>
      </c>
      <c r="P103" s="118">
        <f t="shared" si="32"/>
        <v>0</v>
      </c>
    </row>
    <row r="104" spans="2:16" x14ac:dyDescent="0.25">
      <c r="B104" s="119"/>
      <c r="C104" s="120" t="str">
        <f>Categories!$B$53</f>
        <v>Employee Benefits &amp; Health Insurance</v>
      </c>
      <c r="D104" s="121">
        <f t="shared" si="31"/>
        <v>0</v>
      </c>
      <c r="E104" s="121">
        <f t="shared" si="31"/>
        <v>0</v>
      </c>
      <c r="F104" s="121">
        <f t="shared" si="31"/>
        <v>0</v>
      </c>
      <c r="G104" s="121">
        <f t="shared" si="31"/>
        <v>0</v>
      </c>
      <c r="H104" s="121">
        <f t="shared" si="31"/>
        <v>0</v>
      </c>
      <c r="I104" s="121">
        <f t="shared" si="31"/>
        <v>0</v>
      </c>
      <c r="J104" s="121">
        <f t="shared" si="31"/>
        <v>0</v>
      </c>
      <c r="K104" s="121">
        <f t="shared" si="31"/>
        <v>0</v>
      </c>
      <c r="L104" s="121">
        <f t="shared" si="31"/>
        <v>0</v>
      </c>
      <c r="M104" s="121">
        <f t="shared" si="31"/>
        <v>0</v>
      </c>
      <c r="N104" s="121">
        <f t="shared" si="31"/>
        <v>0</v>
      </c>
      <c r="O104" s="121">
        <f t="shared" si="31"/>
        <v>0</v>
      </c>
      <c r="P104" s="122">
        <f t="shared" si="32"/>
        <v>0</v>
      </c>
    </row>
    <row r="105" spans="2:16" x14ac:dyDescent="0.25">
      <c r="B105" s="115"/>
      <c r="C105" s="116" t="str">
        <f>Categories!$B$54</f>
        <v>Employer Retirement Contributions - Staff</v>
      </c>
      <c r="D105" s="117">
        <f t="shared" si="31"/>
        <v>0</v>
      </c>
      <c r="E105" s="117">
        <f t="shared" si="31"/>
        <v>0</v>
      </c>
      <c r="F105" s="117">
        <f t="shared" si="31"/>
        <v>0</v>
      </c>
      <c r="G105" s="117">
        <f t="shared" si="31"/>
        <v>0</v>
      </c>
      <c r="H105" s="117">
        <f t="shared" si="31"/>
        <v>0</v>
      </c>
      <c r="I105" s="117">
        <f t="shared" si="31"/>
        <v>0</v>
      </c>
      <c r="J105" s="117">
        <f t="shared" si="31"/>
        <v>0</v>
      </c>
      <c r="K105" s="117">
        <f t="shared" si="31"/>
        <v>0</v>
      </c>
      <c r="L105" s="117">
        <f t="shared" si="31"/>
        <v>0</v>
      </c>
      <c r="M105" s="117">
        <f t="shared" si="31"/>
        <v>0</v>
      </c>
      <c r="N105" s="117">
        <f t="shared" si="31"/>
        <v>0</v>
      </c>
      <c r="O105" s="117">
        <f t="shared" si="31"/>
        <v>0</v>
      </c>
      <c r="P105" s="118">
        <f t="shared" si="32"/>
        <v>0</v>
      </c>
    </row>
    <row r="106" spans="2:16" x14ac:dyDescent="0.25">
      <c r="B106" s="119"/>
      <c r="C106" s="120" t="str">
        <f>Categories!$B$55</f>
        <v>Contract Labor / 1099 Providers</v>
      </c>
      <c r="D106" s="121">
        <f t="shared" si="31"/>
        <v>0</v>
      </c>
      <c r="E106" s="121">
        <f t="shared" si="31"/>
        <v>0</v>
      </c>
      <c r="F106" s="121">
        <f t="shared" si="31"/>
        <v>0</v>
      </c>
      <c r="G106" s="121">
        <f t="shared" si="31"/>
        <v>0</v>
      </c>
      <c r="H106" s="121">
        <f t="shared" si="31"/>
        <v>0</v>
      </c>
      <c r="I106" s="121">
        <f t="shared" si="31"/>
        <v>0</v>
      </c>
      <c r="J106" s="121">
        <f t="shared" si="31"/>
        <v>0</v>
      </c>
      <c r="K106" s="121">
        <f t="shared" si="31"/>
        <v>0</v>
      </c>
      <c r="L106" s="121">
        <f t="shared" si="31"/>
        <v>0</v>
      </c>
      <c r="M106" s="121">
        <f t="shared" si="31"/>
        <v>0</v>
      </c>
      <c r="N106" s="121">
        <f t="shared" si="31"/>
        <v>0</v>
      </c>
      <c r="O106" s="121">
        <f t="shared" si="31"/>
        <v>0</v>
      </c>
      <c r="P106" s="122">
        <f t="shared" si="32"/>
        <v>0</v>
      </c>
    </row>
    <row r="107" spans="2:16" x14ac:dyDescent="0.25">
      <c r="B107" s="115"/>
      <c r="C107" s="116" t="str">
        <f>Categories!$B$56</f>
        <v>Locum Tenens Coverage Paid</v>
      </c>
      <c r="D107" s="117">
        <f t="shared" ref="D107:O113" si="33">ROUND(SUMIFS(Txn_Ded,Txn_Cat,$C107,Txn_Date,"&gt;="&amp;D$9,Txn_Date,"&lt;="&amp;EOMONTH(D$9,0)),2)</f>
        <v>0</v>
      </c>
      <c r="E107" s="117">
        <f t="shared" si="33"/>
        <v>0</v>
      </c>
      <c r="F107" s="117">
        <f t="shared" si="33"/>
        <v>0</v>
      </c>
      <c r="G107" s="117">
        <f t="shared" si="33"/>
        <v>0</v>
      </c>
      <c r="H107" s="117">
        <f t="shared" si="33"/>
        <v>0</v>
      </c>
      <c r="I107" s="117">
        <f t="shared" si="33"/>
        <v>0</v>
      </c>
      <c r="J107" s="117">
        <f t="shared" si="33"/>
        <v>0</v>
      </c>
      <c r="K107" s="117">
        <f t="shared" si="33"/>
        <v>0</v>
      </c>
      <c r="L107" s="117">
        <f t="shared" si="33"/>
        <v>0</v>
      </c>
      <c r="M107" s="117">
        <f t="shared" si="33"/>
        <v>0</v>
      </c>
      <c r="N107" s="117">
        <f t="shared" si="33"/>
        <v>0</v>
      </c>
      <c r="O107" s="117">
        <f t="shared" si="33"/>
        <v>0</v>
      </c>
      <c r="P107" s="118">
        <f t="shared" si="32"/>
        <v>0</v>
      </c>
    </row>
    <row r="108" spans="2:16" x14ac:dyDescent="0.25">
      <c r="B108" s="119"/>
      <c r="C108" s="120" t="str">
        <f>Categories!$B$67</f>
        <v>Legal Fees</v>
      </c>
      <c r="D108" s="121">
        <f t="shared" si="33"/>
        <v>0</v>
      </c>
      <c r="E108" s="121">
        <f t="shared" si="33"/>
        <v>0</v>
      </c>
      <c r="F108" s="121">
        <f t="shared" si="33"/>
        <v>0</v>
      </c>
      <c r="G108" s="121">
        <f t="shared" si="33"/>
        <v>0</v>
      </c>
      <c r="H108" s="121">
        <f t="shared" si="33"/>
        <v>0</v>
      </c>
      <c r="I108" s="121">
        <f t="shared" si="33"/>
        <v>0</v>
      </c>
      <c r="J108" s="121">
        <f t="shared" si="33"/>
        <v>0</v>
      </c>
      <c r="K108" s="121">
        <f t="shared" si="33"/>
        <v>0</v>
      </c>
      <c r="L108" s="121">
        <f t="shared" si="33"/>
        <v>0</v>
      </c>
      <c r="M108" s="121">
        <f t="shared" si="33"/>
        <v>0</v>
      </c>
      <c r="N108" s="121">
        <f t="shared" si="33"/>
        <v>0</v>
      </c>
      <c r="O108" s="121">
        <f t="shared" si="33"/>
        <v>0</v>
      </c>
      <c r="P108" s="122">
        <f t="shared" si="32"/>
        <v>0</v>
      </c>
    </row>
    <row r="109" spans="2:16" x14ac:dyDescent="0.25">
      <c r="B109" s="115"/>
      <c r="C109" s="116" t="str">
        <f>Categories!$B$73</f>
        <v>Referral &amp; Community Events</v>
      </c>
      <c r="D109" s="117">
        <f t="shared" si="33"/>
        <v>0</v>
      </c>
      <c r="E109" s="117">
        <f t="shared" si="33"/>
        <v>0</v>
      </c>
      <c r="F109" s="117">
        <f t="shared" si="33"/>
        <v>0</v>
      </c>
      <c r="G109" s="117">
        <f t="shared" si="33"/>
        <v>0</v>
      </c>
      <c r="H109" s="117">
        <f t="shared" si="33"/>
        <v>0</v>
      </c>
      <c r="I109" s="117">
        <f t="shared" si="33"/>
        <v>0</v>
      </c>
      <c r="J109" s="117">
        <f t="shared" si="33"/>
        <v>0</v>
      </c>
      <c r="K109" s="117">
        <f t="shared" si="33"/>
        <v>0</v>
      </c>
      <c r="L109" s="117">
        <f t="shared" si="33"/>
        <v>0</v>
      </c>
      <c r="M109" s="117">
        <f t="shared" si="33"/>
        <v>0</v>
      </c>
      <c r="N109" s="117">
        <f t="shared" si="33"/>
        <v>0</v>
      </c>
      <c r="O109" s="117">
        <f t="shared" si="33"/>
        <v>0</v>
      </c>
      <c r="P109" s="118">
        <f t="shared" si="32"/>
        <v>0</v>
      </c>
    </row>
    <row r="110" spans="2:16" x14ac:dyDescent="0.25">
      <c r="B110" s="119"/>
      <c r="C110" s="120" t="str">
        <f>Categories!$B$74</f>
        <v>Auto - Actual Expenses (Fuel, Repairs, Insurance)</v>
      </c>
      <c r="D110" s="121">
        <f t="shared" si="33"/>
        <v>0</v>
      </c>
      <c r="E110" s="121">
        <f t="shared" si="33"/>
        <v>0</v>
      </c>
      <c r="F110" s="121">
        <f t="shared" si="33"/>
        <v>0</v>
      </c>
      <c r="G110" s="121">
        <f t="shared" si="33"/>
        <v>0</v>
      </c>
      <c r="H110" s="121">
        <f t="shared" si="33"/>
        <v>0</v>
      </c>
      <c r="I110" s="121">
        <f t="shared" si="33"/>
        <v>0</v>
      </c>
      <c r="J110" s="121">
        <f t="shared" si="33"/>
        <v>0</v>
      </c>
      <c r="K110" s="121">
        <f t="shared" si="33"/>
        <v>0</v>
      </c>
      <c r="L110" s="121">
        <f t="shared" si="33"/>
        <v>0</v>
      </c>
      <c r="M110" s="121">
        <f t="shared" si="33"/>
        <v>0</v>
      </c>
      <c r="N110" s="121">
        <f t="shared" si="33"/>
        <v>0</v>
      </c>
      <c r="O110" s="121">
        <f t="shared" si="33"/>
        <v>0</v>
      </c>
      <c r="P110" s="122">
        <f t="shared" si="32"/>
        <v>0</v>
      </c>
    </row>
    <row r="111" spans="2:16" x14ac:dyDescent="0.25">
      <c r="B111" s="115"/>
      <c r="C111" s="116" t="str">
        <f>Categories!$B$75</f>
        <v>Parking &amp; Tolls</v>
      </c>
      <c r="D111" s="117">
        <f t="shared" si="33"/>
        <v>0</v>
      </c>
      <c r="E111" s="117">
        <f t="shared" si="33"/>
        <v>0</v>
      </c>
      <c r="F111" s="117">
        <f t="shared" si="33"/>
        <v>0</v>
      </c>
      <c r="G111" s="117">
        <f t="shared" si="33"/>
        <v>0</v>
      </c>
      <c r="H111" s="117">
        <f t="shared" si="33"/>
        <v>0</v>
      </c>
      <c r="I111" s="117">
        <f t="shared" si="33"/>
        <v>0</v>
      </c>
      <c r="J111" s="117">
        <f t="shared" si="33"/>
        <v>0</v>
      </c>
      <c r="K111" s="117">
        <f t="shared" si="33"/>
        <v>0</v>
      </c>
      <c r="L111" s="117">
        <f t="shared" si="33"/>
        <v>0</v>
      </c>
      <c r="M111" s="117">
        <f t="shared" si="33"/>
        <v>0</v>
      </c>
      <c r="N111" s="117">
        <f t="shared" si="33"/>
        <v>0</v>
      </c>
      <c r="O111" s="117">
        <f t="shared" si="33"/>
        <v>0</v>
      </c>
      <c r="P111" s="118">
        <f t="shared" si="32"/>
        <v>0</v>
      </c>
    </row>
    <row r="112" spans="2:16" x14ac:dyDescent="0.25">
      <c r="B112" s="119"/>
      <c r="C112" s="120" t="str">
        <f>Categories!$B$77</f>
        <v>Meals - Business (limitation applies)</v>
      </c>
      <c r="D112" s="121">
        <f t="shared" si="33"/>
        <v>0</v>
      </c>
      <c r="E112" s="121">
        <f t="shared" si="33"/>
        <v>0</v>
      </c>
      <c r="F112" s="121">
        <f t="shared" si="33"/>
        <v>0</v>
      </c>
      <c r="G112" s="121">
        <f t="shared" si="33"/>
        <v>0</v>
      </c>
      <c r="H112" s="121">
        <f t="shared" si="33"/>
        <v>0</v>
      </c>
      <c r="I112" s="121">
        <f t="shared" si="33"/>
        <v>0</v>
      </c>
      <c r="J112" s="121">
        <f t="shared" si="33"/>
        <v>0</v>
      </c>
      <c r="K112" s="121">
        <f t="shared" si="33"/>
        <v>0</v>
      </c>
      <c r="L112" s="121">
        <f t="shared" si="33"/>
        <v>0</v>
      </c>
      <c r="M112" s="121">
        <f t="shared" si="33"/>
        <v>0</v>
      </c>
      <c r="N112" s="121">
        <f t="shared" si="33"/>
        <v>0</v>
      </c>
      <c r="O112" s="121">
        <f t="shared" si="33"/>
        <v>0</v>
      </c>
      <c r="P112" s="122">
        <f t="shared" si="32"/>
        <v>0</v>
      </c>
    </row>
    <row r="113" spans="2:16" x14ac:dyDescent="0.25">
      <c r="B113" s="115"/>
      <c r="C113" s="116" t="str">
        <f>Categories!$B$81</f>
        <v>Taxes &amp; Fees - Business</v>
      </c>
      <c r="D113" s="117">
        <f t="shared" si="33"/>
        <v>0</v>
      </c>
      <c r="E113" s="117">
        <f t="shared" si="33"/>
        <v>0</v>
      </c>
      <c r="F113" s="117">
        <f t="shared" si="33"/>
        <v>0</v>
      </c>
      <c r="G113" s="117">
        <f t="shared" si="33"/>
        <v>0</v>
      </c>
      <c r="H113" s="117">
        <f t="shared" si="33"/>
        <v>0</v>
      </c>
      <c r="I113" s="117">
        <f t="shared" si="33"/>
        <v>0</v>
      </c>
      <c r="J113" s="117">
        <f t="shared" si="33"/>
        <v>0</v>
      </c>
      <c r="K113" s="117">
        <f t="shared" si="33"/>
        <v>0</v>
      </c>
      <c r="L113" s="117">
        <f t="shared" si="33"/>
        <v>0</v>
      </c>
      <c r="M113" s="117">
        <f t="shared" si="33"/>
        <v>0</v>
      </c>
      <c r="N113" s="117">
        <f t="shared" si="33"/>
        <v>0</v>
      </c>
      <c r="O113" s="117">
        <f t="shared" si="33"/>
        <v>0</v>
      </c>
      <c r="P113" s="118">
        <f t="shared" si="32"/>
        <v>0</v>
      </c>
    </row>
    <row r="114" spans="2:16" ht="8.1" customHeight="1" x14ac:dyDescent="0.25"/>
    <row r="115" spans="2:16" ht="33.75" x14ac:dyDescent="0.25">
      <c r="B115" s="123" t="str">
        <f>IF(OR('2. Setup'!$C$9="",'2. Setup'!$C$9="Not sure - ask my accountant"),"TAX CLASSIFICATION NOT SET","NOT MAPPED")</f>
        <v>TAX CLASSIFICATION NOT SET</v>
      </c>
      <c r="C115" s="112" t="s">
        <v>452</v>
      </c>
      <c r="D115" s="124">
        <f>ROUND(SUMIFS('7. Settlements'!$O$8:$O$107,'7. Settlements'!$C$8:$C$107,"&gt;="&amp;D$9,'7. Settlements'!$C$8:$C$107,"&lt;="&amp;EOMONTH(D$9,0)),2)</f>
        <v>0</v>
      </c>
      <c r="E115" s="124">
        <f>ROUND(SUMIFS('7. Settlements'!$O$8:$O$107,'7. Settlements'!$C$8:$C$107,"&gt;="&amp;E$9,'7. Settlements'!$C$8:$C$107,"&lt;="&amp;EOMONTH(E$9,0)),2)</f>
        <v>0</v>
      </c>
      <c r="F115" s="124">
        <f>ROUND(SUMIFS('7. Settlements'!$O$8:$O$107,'7. Settlements'!$C$8:$C$107,"&gt;="&amp;F$9,'7. Settlements'!$C$8:$C$107,"&lt;="&amp;EOMONTH(F$9,0)),2)</f>
        <v>0</v>
      </c>
      <c r="G115" s="124">
        <f>ROUND(SUMIFS('7. Settlements'!$O$8:$O$107,'7. Settlements'!$C$8:$C$107,"&gt;="&amp;G$9,'7. Settlements'!$C$8:$C$107,"&lt;="&amp;EOMONTH(G$9,0)),2)</f>
        <v>0</v>
      </c>
      <c r="H115" s="124">
        <f>ROUND(SUMIFS('7. Settlements'!$O$8:$O$107,'7. Settlements'!$C$8:$C$107,"&gt;="&amp;H$9,'7. Settlements'!$C$8:$C$107,"&lt;="&amp;EOMONTH(H$9,0)),2)</f>
        <v>0</v>
      </c>
      <c r="I115" s="124">
        <f>ROUND(SUMIFS('7. Settlements'!$O$8:$O$107,'7. Settlements'!$C$8:$C$107,"&gt;="&amp;I$9,'7. Settlements'!$C$8:$C$107,"&lt;="&amp;EOMONTH(I$9,0)),2)</f>
        <v>0</v>
      </c>
      <c r="J115" s="124">
        <f>ROUND(SUMIFS('7. Settlements'!$O$8:$O$107,'7. Settlements'!$C$8:$C$107,"&gt;="&amp;J$9,'7. Settlements'!$C$8:$C$107,"&lt;="&amp;EOMONTH(J$9,0)),2)</f>
        <v>0</v>
      </c>
      <c r="K115" s="124">
        <f>ROUND(SUMIFS('7. Settlements'!$O$8:$O$107,'7. Settlements'!$C$8:$C$107,"&gt;="&amp;K$9,'7. Settlements'!$C$8:$C$107,"&lt;="&amp;EOMONTH(K$9,0)),2)</f>
        <v>0</v>
      </c>
      <c r="L115" s="124">
        <f>ROUND(SUMIFS('7. Settlements'!$O$8:$O$107,'7. Settlements'!$C$8:$C$107,"&gt;="&amp;L$9,'7. Settlements'!$C$8:$C$107,"&lt;="&amp;EOMONTH(L$9,0)),2)</f>
        <v>0</v>
      </c>
      <c r="M115" s="124">
        <f>ROUND(SUMIFS('7. Settlements'!$O$8:$O$107,'7. Settlements'!$C$8:$C$107,"&gt;="&amp;M$9,'7. Settlements'!$C$8:$C$107,"&lt;="&amp;EOMONTH(M$9,0)),2)</f>
        <v>0</v>
      </c>
      <c r="N115" s="124">
        <f>ROUND(SUMIFS('7. Settlements'!$O$8:$O$107,'7. Settlements'!$C$8:$C$107,"&gt;="&amp;N$9,'7. Settlements'!$C$8:$C$107,"&lt;="&amp;EOMONTH(N$9,0)),2)</f>
        <v>0</v>
      </c>
      <c r="O115" s="124">
        <f>ROUND(SUMIFS('7. Settlements'!$O$8:$O$107,'7. Settlements'!$C$8:$C$107,"&gt;="&amp;O$9,'7. Settlements'!$C$8:$C$107,"&lt;="&amp;EOMONTH(O$9,0)),2)</f>
        <v>0</v>
      </c>
      <c r="P115" s="125">
        <f>ROUND(SUMIFS('7. Settlements'!$O$8:$O$107,'7. Settlements'!$C$8:$C$107,"&gt;="&amp;Yr_Start,'7. Settlements'!$C$8:$C$107,"&lt;="&amp;Yr_End),2)</f>
        <v>0</v>
      </c>
    </row>
    <row r="116" spans="2:16" ht="8.1" customHeight="1" x14ac:dyDescent="0.25"/>
    <row r="117" spans="2:16" x14ac:dyDescent="0.25">
      <c r="B117" s="123"/>
      <c r="C117" s="112" t="s">
        <v>453</v>
      </c>
      <c r="D117" s="124">
        <f t="shared" ref="D117:P117" si="34">ROUND(SUM(D119:D126),2)</f>
        <v>0</v>
      </c>
      <c r="E117" s="124">
        <f t="shared" si="34"/>
        <v>0</v>
      </c>
      <c r="F117" s="124">
        <f t="shared" si="34"/>
        <v>0</v>
      </c>
      <c r="G117" s="124">
        <f t="shared" si="34"/>
        <v>0</v>
      </c>
      <c r="H117" s="124">
        <f t="shared" si="34"/>
        <v>0</v>
      </c>
      <c r="I117" s="124">
        <f t="shared" si="34"/>
        <v>0</v>
      </c>
      <c r="J117" s="124">
        <f t="shared" si="34"/>
        <v>0</v>
      </c>
      <c r="K117" s="124">
        <f t="shared" si="34"/>
        <v>0</v>
      </c>
      <c r="L117" s="124">
        <f t="shared" si="34"/>
        <v>0</v>
      </c>
      <c r="M117" s="124">
        <f t="shared" si="34"/>
        <v>0</v>
      </c>
      <c r="N117" s="124">
        <f t="shared" si="34"/>
        <v>0</v>
      </c>
      <c r="O117" s="124">
        <f t="shared" si="34"/>
        <v>0</v>
      </c>
      <c r="P117" s="125">
        <f t="shared" si="34"/>
        <v>0</v>
      </c>
    </row>
    <row r="118" spans="2:16" ht="15.6" customHeight="1" x14ac:dyDescent="0.25">
      <c r="C118" s="227" t="s">
        <v>454</v>
      </c>
      <c r="D118" s="173"/>
      <c r="E118" s="173"/>
      <c r="F118" s="173"/>
      <c r="G118" s="173"/>
      <c r="H118" s="173"/>
      <c r="I118" s="173"/>
      <c r="J118" s="173"/>
      <c r="K118" s="173"/>
      <c r="L118" s="173"/>
      <c r="M118" s="173"/>
      <c r="N118" s="173"/>
      <c r="O118" s="173"/>
      <c r="P118" s="173"/>
    </row>
    <row r="119" spans="2:16" ht="33.75" x14ac:dyDescent="0.25">
      <c r="B119" s="115" t="str">
        <f>IF(OR('2. Setup'!$C$9="",'2. Setup'!$C$9="Not sure - ask my accountant"),"TAX CLASSIFICATION NOT SET",IF('2. Setup'!$C$9="S-Corporation","7","NOT MAPPED"))</f>
        <v>TAX CLASSIFICATION NOT SET</v>
      </c>
      <c r="C119" s="116" t="str">
        <f>'9. Payroll Allocation'!$B$219</f>
        <v>Owner / shareholder gross wages</v>
      </c>
      <c r="D119" s="117">
        <f>ROUND(SUMPRODUCT(('9. Payroll Allocation'!$D$8:$D$207='9. Payroll Allocation'!$B$219)*('9. Payroll Allocation'!$G$8:$G$207="Yes")*COUNTIFS('9. Payroll Allocation'!$B$234:$B$253,'9. Payroll Allocation'!$B$8:$B$207,'9. Payroll Allocation'!$H$234:$H$253,"Tied out")*('9. Payroll Allocation'!$C$8:$C$207&gt;=D$9)*('9. Payroll Allocation'!$C$8:$C$207&lt;=EOMONTH(D$9,0))*'9. Payroll Allocation'!$E$8:$E$207),2)</f>
        <v>0</v>
      </c>
      <c r="E119" s="117">
        <f>ROUND(SUMPRODUCT(('9. Payroll Allocation'!$D$8:$D$207='9. Payroll Allocation'!$B$219)*('9. Payroll Allocation'!$G$8:$G$207="Yes")*COUNTIFS('9. Payroll Allocation'!$B$234:$B$253,'9. Payroll Allocation'!$B$8:$B$207,'9. Payroll Allocation'!$H$234:$H$253,"Tied out")*('9. Payroll Allocation'!$C$8:$C$207&gt;=E$9)*('9. Payroll Allocation'!$C$8:$C$207&lt;=EOMONTH(E$9,0))*'9. Payroll Allocation'!$E$8:$E$207),2)</f>
        <v>0</v>
      </c>
      <c r="F119" s="117">
        <f>ROUND(SUMPRODUCT(('9. Payroll Allocation'!$D$8:$D$207='9. Payroll Allocation'!$B$219)*('9. Payroll Allocation'!$G$8:$G$207="Yes")*COUNTIFS('9. Payroll Allocation'!$B$234:$B$253,'9. Payroll Allocation'!$B$8:$B$207,'9. Payroll Allocation'!$H$234:$H$253,"Tied out")*('9. Payroll Allocation'!$C$8:$C$207&gt;=F$9)*('9. Payroll Allocation'!$C$8:$C$207&lt;=EOMONTH(F$9,0))*'9. Payroll Allocation'!$E$8:$E$207),2)</f>
        <v>0</v>
      </c>
      <c r="G119" s="117">
        <f>ROUND(SUMPRODUCT(('9. Payroll Allocation'!$D$8:$D$207='9. Payroll Allocation'!$B$219)*('9. Payroll Allocation'!$G$8:$G$207="Yes")*COUNTIFS('9. Payroll Allocation'!$B$234:$B$253,'9. Payroll Allocation'!$B$8:$B$207,'9. Payroll Allocation'!$H$234:$H$253,"Tied out")*('9. Payroll Allocation'!$C$8:$C$207&gt;=G$9)*('9. Payroll Allocation'!$C$8:$C$207&lt;=EOMONTH(G$9,0))*'9. Payroll Allocation'!$E$8:$E$207),2)</f>
        <v>0</v>
      </c>
      <c r="H119" s="117">
        <f>ROUND(SUMPRODUCT(('9. Payroll Allocation'!$D$8:$D$207='9. Payroll Allocation'!$B$219)*('9. Payroll Allocation'!$G$8:$G$207="Yes")*COUNTIFS('9. Payroll Allocation'!$B$234:$B$253,'9. Payroll Allocation'!$B$8:$B$207,'9. Payroll Allocation'!$H$234:$H$253,"Tied out")*('9. Payroll Allocation'!$C$8:$C$207&gt;=H$9)*('9. Payroll Allocation'!$C$8:$C$207&lt;=EOMONTH(H$9,0))*'9. Payroll Allocation'!$E$8:$E$207),2)</f>
        <v>0</v>
      </c>
      <c r="I119" s="117">
        <f>ROUND(SUMPRODUCT(('9. Payroll Allocation'!$D$8:$D$207='9. Payroll Allocation'!$B$219)*('9. Payroll Allocation'!$G$8:$G$207="Yes")*COUNTIFS('9. Payroll Allocation'!$B$234:$B$253,'9. Payroll Allocation'!$B$8:$B$207,'9. Payroll Allocation'!$H$234:$H$253,"Tied out")*('9. Payroll Allocation'!$C$8:$C$207&gt;=I$9)*('9. Payroll Allocation'!$C$8:$C$207&lt;=EOMONTH(I$9,0))*'9. Payroll Allocation'!$E$8:$E$207),2)</f>
        <v>0</v>
      </c>
      <c r="J119" s="117">
        <f>ROUND(SUMPRODUCT(('9. Payroll Allocation'!$D$8:$D$207='9. Payroll Allocation'!$B$219)*('9. Payroll Allocation'!$G$8:$G$207="Yes")*COUNTIFS('9. Payroll Allocation'!$B$234:$B$253,'9. Payroll Allocation'!$B$8:$B$207,'9. Payroll Allocation'!$H$234:$H$253,"Tied out")*('9. Payroll Allocation'!$C$8:$C$207&gt;=J$9)*('9. Payroll Allocation'!$C$8:$C$207&lt;=EOMONTH(J$9,0))*'9. Payroll Allocation'!$E$8:$E$207),2)</f>
        <v>0</v>
      </c>
      <c r="K119" s="117">
        <f>ROUND(SUMPRODUCT(('9. Payroll Allocation'!$D$8:$D$207='9. Payroll Allocation'!$B$219)*('9. Payroll Allocation'!$G$8:$G$207="Yes")*COUNTIFS('9. Payroll Allocation'!$B$234:$B$253,'9. Payroll Allocation'!$B$8:$B$207,'9. Payroll Allocation'!$H$234:$H$253,"Tied out")*('9. Payroll Allocation'!$C$8:$C$207&gt;=K$9)*('9. Payroll Allocation'!$C$8:$C$207&lt;=EOMONTH(K$9,0))*'9. Payroll Allocation'!$E$8:$E$207),2)</f>
        <v>0</v>
      </c>
      <c r="L119" s="117">
        <f>ROUND(SUMPRODUCT(('9. Payroll Allocation'!$D$8:$D$207='9. Payroll Allocation'!$B$219)*('9. Payroll Allocation'!$G$8:$G$207="Yes")*COUNTIFS('9. Payroll Allocation'!$B$234:$B$253,'9. Payroll Allocation'!$B$8:$B$207,'9. Payroll Allocation'!$H$234:$H$253,"Tied out")*('9. Payroll Allocation'!$C$8:$C$207&gt;=L$9)*('9. Payroll Allocation'!$C$8:$C$207&lt;=EOMONTH(L$9,0))*'9. Payroll Allocation'!$E$8:$E$207),2)</f>
        <v>0</v>
      </c>
      <c r="M119" s="117">
        <f>ROUND(SUMPRODUCT(('9. Payroll Allocation'!$D$8:$D$207='9. Payroll Allocation'!$B$219)*('9. Payroll Allocation'!$G$8:$G$207="Yes")*COUNTIFS('9. Payroll Allocation'!$B$234:$B$253,'9. Payroll Allocation'!$B$8:$B$207,'9. Payroll Allocation'!$H$234:$H$253,"Tied out")*('9. Payroll Allocation'!$C$8:$C$207&gt;=M$9)*('9. Payroll Allocation'!$C$8:$C$207&lt;=EOMONTH(M$9,0))*'9. Payroll Allocation'!$E$8:$E$207),2)</f>
        <v>0</v>
      </c>
      <c r="N119" s="117">
        <f>ROUND(SUMPRODUCT(('9. Payroll Allocation'!$D$8:$D$207='9. Payroll Allocation'!$B$219)*('9. Payroll Allocation'!$G$8:$G$207="Yes")*COUNTIFS('9. Payroll Allocation'!$B$234:$B$253,'9. Payroll Allocation'!$B$8:$B$207,'9. Payroll Allocation'!$H$234:$H$253,"Tied out")*('9. Payroll Allocation'!$C$8:$C$207&gt;=N$9)*('9. Payroll Allocation'!$C$8:$C$207&lt;=EOMONTH(N$9,0))*'9. Payroll Allocation'!$E$8:$E$207),2)</f>
        <v>0</v>
      </c>
      <c r="O119" s="117">
        <f>ROUND(SUMPRODUCT(('9. Payroll Allocation'!$D$8:$D$207='9. Payroll Allocation'!$B$219)*('9. Payroll Allocation'!$G$8:$G$207="Yes")*COUNTIFS('9. Payroll Allocation'!$B$234:$B$253,'9. Payroll Allocation'!$B$8:$B$207,'9. Payroll Allocation'!$H$234:$H$253,"Tied out")*('9. Payroll Allocation'!$C$8:$C$207&gt;=O$9)*('9. Payroll Allocation'!$C$8:$C$207&lt;=EOMONTH(O$9,0))*'9. Payroll Allocation'!$E$8:$E$207),2)</f>
        <v>0</v>
      </c>
      <c r="P119" s="118">
        <f>ROUND(SUMPRODUCT(('9. Payroll Allocation'!$D$8:$D$207='9. Payroll Allocation'!$B$219)*('9. Payroll Allocation'!$G$8:$G$207="Yes")*COUNTIFS('9. Payroll Allocation'!$B$234:$B$253,'9. Payroll Allocation'!$B$8:$B$207,'9. Payroll Allocation'!$H$234:$H$253,"Tied out")*('9. Payroll Allocation'!$C$8:$C$207&gt;=Yr_Start)*('9. Payroll Allocation'!$C$8:$C$207&lt;=Yr_End)*'9. Payroll Allocation'!$E$8:$E$207),2)</f>
        <v>0</v>
      </c>
    </row>
    <row r="120" spans="2:16" ht="33.75" x14ac:dyDescent="0.25">
      <c r="B120" s="119" t="str">
        <f>IF(OR('2. Setup'!$C$9="",'2. Setup'!$C$9="Not sure - ask my accountant"),"TAX CLASSIFICATION NOT SET",IF('2. Setup'!$C$9="S-Corporation","12","NOT MAPPED"))</f>
        <v>TAX CLASSIFICATION NOT SET</v>
      </c>
      <c r="C120" s="120" t="str">
        <f>'9. Payroll Allocation'!$B$220</f>
        <v>Owner / shareholder employer taxes</v>
      </c>
      <c r="D120" s="121">
        <f>ROUND(SUMPRODUCT(('9. Payroll Allocation'!$D$8:$D$207='9. Payroll Allocation'!$B$220)*('9. Payroll Allocation'!$G$8:$G$207="Yes")*COUNTIFS('9. Payroll Allocation'!$B$234:$B$253,'9. Payroll Allocation'!$B$8:$B$207,'9. Payroll Allocation'!$H$234:$H$253,"Tied out")*('9. Payroll Allocation'!$C$8:$C$207&gt;=D$9)*('9. Payroll Allocation'!$C$8:$C$207&lt;=EOMONTH(D$9,0))*'9. Payroll Allocation'!$E$8:$E$207),2)</f>
        <v>0</v>
      </c>
      <c r="E120" s="121">
        <f>ROUND(SUMPRODUCT(('9. Payroll Allocation'!$D$8:$D$207='9. Payroll Allocation'!$B$220)*('9. Payroll Allocation'!$G$8:$G$207="Yes")*COUNTIFS('9. Payroll Allocation'!$B$234:$B$253,'9. Payroll Allocation'!$B$8:$B$207,'9. Payroll Allocation'!$H$234:$H$253,"Tied out")*('9. Payroll Allocation'!$C$8:$C$207&gt;=E$9)*('9. Payroll Allocation'!$C$8:$C$207&lt;=EOMONTH(E$9,0))*'9. Payroll Allocation'!$E$8:$E$207),2)</f>
        <v>0</v>
      </c>
      <c r="F120" s="121">
        <f>ROUND(SUMPRODUCT(('9. Payroll Allocation'!$D$8:$D$207='9. Payroll Allocation'!$B$220)*('9. Payroll Allocation'!$G$8:$G$207="Yes")*COUNTIFS('9. Payroll Allocation'!$B$234:$B$253,'9. Payroll Allocation'!$B$8:$B$207,'9. Payroll Allocation'!$H$234:$H$253,"Tied out")*('9. Payroll Allocation'!$C$8:$C$207&gt;=F$9)*('9. Payroll Allocation'!$C$8:$C$207&lt;=EOMONTH(F$9,0))*'9. Payroll Allocation'!$E$8:$E$207),2)</f>
        <v>0</v>
      </c>
      <c r="G120" s="121">
        <f>ROUND(SUMPRODUCT(('9. Payroll Allocation'!$D$8:$D$207='9. Payroll Allocation'!$B$220)*('9. Payroll Allocation'!$G$8:$G$207="Yes")*COUNTIFS('9. Payroll Allocation'!$B$234:$B$253,'9. Payroll Allocation'!$B$8:$B$207,'9. Payroll Allocation'!$H$234:$H$253,"Tied out")*('9. Payroll Allocation'!$C$8:$C$207&gt;=G$9)*('9. Payroll Allocation'!$C$8:$C$207&lt;=EOMONTH(G$9,0))*'9. Payroll Allocation'!$E$8:$E$207),2)</f>
        <v>0</v>
      </c>
      <c r="H120" s="121">
        <f>ROUND(SUMPRODUCT(('9. Payroll Allocation'!$D$8:$D$207='9. Payroll Allocation'!$B$220)*('9. Payroll Allocation'!$G$8:$G$207="Yes")*COUNTIFS('9. Payroll Allocation'!$B$234:$B$253,'9. Payroll Allocation'!$B$8:$B$207,'9. Payroll Allocation'!$H$234:$H$253,"Tied out")*('9. Payroll Allocation'!$C$8:$C$207&gt;=H$9)*('9. Payroll Allocation'!$C$8:$C$207&lt;=EOMONTH(H$9,0))*'9. Payroll Allocation'!$E$8:$E$207),2)</f>
        <v>0</v>
      </c>
      <c r="I120" s="121">
        <f>ROUND(SUMPRODUCT(('9. Payroll Allocation'!$D$8:$D$207='9. Payroll Allocation'!$B$220)*('9. Payroll Allocation'!$G$8:$G$207="Yes")*COUNTIFS('9. Payroll Allocation'!$B$234:$B$253,'9. Payroll Allocation'!$B$8:$B$207,'9. Payroll Allocation'!$H$234:$H$253,"Tied out")*('9. Payroll Allocation'!$C$8:$C$207&gt;=I$9)*('9. Payroll Allocation'!$C$8:$C$207&lt;=EOMONTH(I$9,0))*'9. Payroll Allocation'!$E$8:$E$207),2)</f>
        <v>0</v>
      </c>
      <c r="J120" s="121">
        <f>ROUND(SUMPRODUCT(('9. Payroll Allocation'!$D$8:$D$207='9. Payroll Allocation'!$B$220)*('9. Payroll Allocation'!$G$8:$G$207="Yes")*COUNTIFS('9. Payroll Allocation'!$B$234:$B$253,'9. Payroll Allocation'!$B$8:$B$207,'9. Payroll Allocation'!$H$234:$H$253,"Tied out")*('9. Payroll Allocation'!$C$8:$C$207&gt;=J$9)*('9. Payroll Allocation'!$C$8:$C$207&lt;=EOMONTH(J$9,0))*'9. Payroll Allocation'!$E$8:$E$207),2)</f>
        <v>0</v>
      </c>
      <c r="K120" s="121">
        <f>ROUND(SUMPRODUCT(('9. Payroll Allocation'!$D$8:$D$207='9. Payroll Allocation'!$B$220)*('9. Payroll Allocation'!$G$8:$G$207="Yes")*COUNTIFS('9. Payroll Allocation'!$B$234:$B$253,'9. Payroll Allocation'!$B$8:$B$207,'9. Payroll Allocation'!$H$234:$H$253,"Tied out")*('9. Payroll Allocation'!$C$8:$C$207&gt;=K$9)*('9. Payroll Allocation'!$C$8:$C$207&lt;=EOMONTH(K$9,0))*'9. Payroll Allocation'!$E$8:$E$207),2)</f>
        <v>0</v>
      </c>
      <c r="L120" s="121">
        <f>ROUND(SUMPRODUCT(('9. Payroll Allocation'!$D$8:$D$207='9. Payroll Allocation'!$B$220)*('9. Payroll Allocation'!$G$8:$G$207="Yes")*COUNTIFS('9. Payroll Allocation'!$B$234:$B$253,'9. Payroll Allocation'!$B$8:$B$207,'9. Payroll Allocation'!$H$234:$H$253,"Tied out")*('9. Payroll Allocation'!$C$8:$C$207&gt;=L$9)*('9. Payroll Allocation'!$C$8:$C$207&lt;=EOMONTH(L$9,0))*'9. Payroll Allocation'!$E$8:$E$207),2)</f>
        <v>0</v>
      </c>
      <c r="M120" s="121">
        <f>ROUND(SUMPRODUCT(('9. Payroll Allocation'!$D$8:$D$207='9. Payroll Allocation'!$B$220)*('9. Payroll Allocation'!$G$8:$G$207="Yes")*COUNTIFS('9. Payroll Allocation'!$B$234:$B$253,'9. Payroll Allocation'!$B$8:$B$207,'9. Payroll Allocation'!$H$234:$H$253,"Tied out")*('9. Payroll Allocation'!$C$8:$C$207&gt;=M$9)*('9. Payroll Allocation'!$C$8:$C$207&lt;=EOMONTH(M$9,0))*'9. Payroll Allocation'!$E$8:$E$207),2)</f>
        <v>0</v>
      </c>
      <c r="N120" s="121">
        <f>ROUND(SUMPRODUCT(('9. Payroll Allocation'!$D$8:$D$207='9. Payroll Allocation'!$B$220)*('9. Payroll Allocation'!$G$8:$G$207="Yes")*COUNTIFS('9. Payroll Allocation'!$B$234:$B$253,'9. Payroll Allocation'!$B$8:$B$207,'9. Payroll Allocation'!$H$234:$H$253,"Tied out")*('9. Payroll Allocation'!$C$8:$C$207&gt;=N$9)*('9. Payroll Allocation'!$C$8:$C$207&lt;=EOMONTH(N$9,0))*'9. Payroll Allocation'!$E$8:$E$207),2)</f>
        <v>0</v>
      </c>
      <c r="O120" s="121">
        <f>ROUND(SUMPRODUCT(('9. Payroll Allocation'!$D$8:$D$207='9. Payroll Allocation'!$B$220)*('9. Payroll Allocation'!$G$8:$G$207="Yes")*COUNTIFS('9. Payroll Allocation'!$B$234:$B$253,'9. Payroll Allocation'!$B$8:$B$207,'9. Payroll Allocation'!$H$234:$H$253,"Tied out")*('9. Payroll Allocation'!$C$8:$C$207&gt;=O$9)*('9. Payroll Allocation'!$C$8:$C$207&lt;=EOMONTH(O$9,0))*'9. Payroll Allocation'!$E$8:$E$207),2)</f>
        <v>0</v>
      </c>
      <c r="P120" s="122">
        <f>ROUND(SUMPRODUCT(('9. Payroll Allocation'!$D$8:$D$207='9. Payroll Allocation'!$B$220)*('9. Payroll Allocation'!$G$8:$G$207="Yes")*COUNTIFS('9. Payroll Allocation'!$B$234:$B$253,'9. Payroll Allocation'!$B$8:$B$207,'9. Payroll Allocation'!$H$234:$H$253,"Tied out")*('9. Payroll Allocation'!$C$8:$C$207&gt;=Yr_Start)*('9. Payroll Allocation'!$C$8:$C$207&lt;=Yr_End)*'9. Payroll Allocation'!$E$8:$E$207),2)</f>
        <v>0</v>
      </c>
    </row>
    <row r="121" spans="2:16" ht="33.75" x14ac:dyDescent="0.25">
      <c r="B121" s="115" t="str">
        <f>IF(OR('2. Setup'!$C$9="",'2. Setup'!$C$9="Not sure - ask my accountant"),"TAX CLASSIFICATION NOT SET",IF('2. Setup'!$C$9="S-Corporation","8","NOT MAPPED"))</f>
        <v>TAX CLASSIFICATION NOT SET</v>
      </c>
      <c r="C121" s="116" t="str">
        <f>'9. Payroll Allocation'!$B$221</f>
        <v>Staff gross wages</v>
      </c>
      <c r="D121" s="117">
        <f>ROUND(SUMPRODUCT(('9. Payroll Allocation'!$D$8:$D$207='9. Payroll Allocation'!$B$221)*('9. Payroll Allocation'!$G$8:$G$207="Yes")*COUNTIFS('9. Payroll Allocation'!$B$234:$B$253,'9. Payroll Allocation'!$B$8:$B$207,'9. Payroll Allocation'!$H$234:$H$253,"Tied out")*('9. Payroll Allocation'!$C$8:$C$207&gt;=D$9)*('9. Payroll Allocation'!$C$8:$C$207&lt;=EOMONTH(D$9,0))*'9. Payroll Allocation'!$E$8:$E$207),2)</f>
        <v>0</v>
      </c>
      <c r="E121" s="117">
        <f>ROUND(SUMPRODUCT(('9. Payroll Allocation'!$D$8:$D$207='9. Payroll Allocation'!$B$221)*('9. Payroll Allocation'!$G$8:$G$207="Yes")*COUNTIFS('9. Payroll Allocation'!$B$234:$B$253,'9. Payroll Allocation'!$B$8:$B$207,'9. Payroll Allocation'!$H$234:$H$253,"Tied out")*('9. Payroll Allocation'!$C$8:$C$207&gt;=E$9)*('9. Payroll Allocation'!$C$8:$C$207&lt;=EOMONTH(E$9,0))*'9. Payroll Allocation'!$E$8:$E$207),2)</f>
        <v>0</v>
      </c>
      <c r="F121" s="117">
        <f>ROUND(SUMPRODUCT(('9. Payroll Allocation'!$D$8:$D$207='9. Payroll Allocation'!$B$221)*('9. Payroll Allocation'!$G$8:$G$207="Yes")*COUNTIFS('9. Payroll Allocation'!$B$234:$B$253,'9. Payroll Allocation'!$B$8:$B$207,'9. Payroll Allocation'!$H$234:$H$253,"Tied out")*('9. Payroll Allocation'!$C$8:$C$207&gt;=F$9)*('9. Payroll Allocation'!$C$8:$C$207&lt;=EOMONTH(F$9,0))*'9. Payroll Allocation'!$E$8:$E$207),2)</f>
        <v>0</v>
      </c>
      <c r="G121" s="117">
        <f>ROUND(SUMPRODUCT(('9. Payroll Allocation'!$D$8:$D$207='9. Payroll Allocation'!$B$221)*('9. Payroll Allocation'!$G$8:$G$207="Yes")*COUNTIFS('9. Payroll Allocation'!$B$234:$B$253,'9. Payroll Allocation'!$B$8:$B$207,'9. Payroll Allocation'!$H$234:$H$253,"Tied out")*('9. Payroll Allocation'!$C$8:$C$207&gt;=G$9)*('9. Payroll Allocation'!$C$8:$C$207&lt;=EOMONTH(G$9,0))*'9. Payroll Allocation'!$E$8:$E$207),2)</f>
        <v>0</v>
      </c>
      <c r="H121" s="117">
        <f>ROUND(SUMPRODUCT(('9. Payroll Allocation'!$D$8:$D$207='9. Payroll Allocation'!$B$221)*('9. Payroll Allocation'!$G$8:$G$207="Yes")*COUNTIFS('9. Payroll Allocation'!$B$234:$B$253,'9. Payroll Allocation'!$B$8:$B$207,'9. Payroll Allocation'!$H$234:$H$253,"Tied out")*('9. Payroll Allocation'!$C$8:$C$207&gt;=H$9)*('9. Payroll Allocation'!$C$8:$C$207&lt;=EOMONTH(H$9,0))*'9. Payroll Allocation'!$E$8:$E$207),2)</f>
        <v>0</v>
      </c>
      <c r="I121" s="117">
        <f>ROUND(SUMPRODUCT(('9. Payroll Allocation'!$D$8:$D$207='9. Payroll Allocation'!$B$221)*('9. Payroll Allocation'!$G$8:$G$207="Yes")*COUNTIFS('9. Payroll Allocation'!$B$234:$B$253,'9. Payroll Allocation'!$B$8:$B$207,'9. Payroll Allocation'!$H$234:$H$253,"Tied out")*('9. Payroll Allocation'!$C$8:$C$207&gt;=I$9)*('9. Payroll Allocation'!$C$8:$C$207&lt;=EOMONTH(I$9,0))*'9. Payroll Allocation'!$E$8:$E$207),2)</f>
        <v>0</v>
      </c>
      <c r="J121" s="117">
        <f>ROUND(SUMPRODUCT(('9. Payroll Allocation'!$D$8:$D$207='9. Payroll Allocation'!$B$221)*('9. Payroll Allocation'!$G$8:$G$207="Yes")*COUNTIFS('9. Payroll Allocation'!$B$234:$B$253,'9. Payroll Allocation'!$B$8:$B$207,'9. Payroll Allocation'!$H$234:$H$253,"Tied out")*('9. Payroll Allocation'!$C$8:$C$207&gt;=J$9)*('9. Payroll Allocation'!$C$8:$C$207&lt;=EOMONTH(J$9,0))*'9. Payroll Allocation'!$E$8:$E$207),2)</f>
        <v>0</v>
      </c>
      <c r="K121" s="117">
        <f>ROUND(SUMPRODUCT(('9. Payroll Allocation'!$D$8:$D$207='9. Payroll Allocation'!$B$221)*('9. Payroll Allocation'!$G$8:$G$207="Yes")*COUNTIFS('9. Payroll Allocation'!$B$234:$B$253,'9. Payroll Allocation'!$B$8:$B$207,'9. Payroll Allocation'!$H$234:$H$253,"Tied out")*('9. Payroll Allocation'!$C$8:$C$207&gt;=K$9)*('9. Payroll Allocation'!$C$8:$C$207&lt;=EOMONTH(K$9,0))*'9. Payroll Allocation'!$E$8:$E$207),2)</f>
        <v>0</v>
      </c>
      <c r="L121" s="117">
        <f>ROUND(SUMPRODUCT(('9. Payroll Allocation'!$D$8:$D$207='9. Payroll Allocation'!$B$221)*('9. Payroll Allocation'!$G$8:$G$207="Yes")*COUNTIFS('9. Payroll Allocation'!$B$234:$B$253,'9. Payroll Allocation'!$B$8:$B$207,'9. Payroll Allocation'!$H$234:$H$253,"Tied out")*('9. Payroll Allocation'!$C$8:$C$207&gt;=L$9)*('9. Payroll Allocation'!$C$8:$C$207&lt;=EOMONTH(L$9,0))*'9. Payroll Allocation'!$E$8:$E$207),2)</f>
        <v>0</v>
      </c>
      <c r="M121" s="117">
        <f>ROUND(SUMPRODUCT(('9. Payroll Allocation'!$D$8:$D$207='9. Payroll Allocation'!$B$221)*('9. Payroll Allocation'!$G$8:$G$207="Yes")*COUNTIFS('9. Payroll Allocation'!$B$234:$B$253,'9. Payroll Allocation'!$B$8:$B$207,'9. Payroll Allocation'!$H$234:$H$253,"Tied out")*('9. Payroll Allocation'!$C$8:$C$207&gt;=M$9)*('9. Payroll Allocation'!$C$8:$C$207&lt;=EOMONTH(M$9,0))*'9. Payroll Allocation'!$E$8:$E$207),2)</f>
        <v>0</v>
      </c>
      <c r="N121" s="117">
        <f>ROUND(SUMPRODUCT(('9. Payroll Allocation'!$D$8:$D$207='9. Payroll Allocation'!$B$221)*('9. Payroll Allocation'!$G$8:$G$207="Yes")*COUNTIFS('9. Payroll Allocation'!$B$234:$B$253,'9. Payroll Allocation'!$B$8:$B$207,'9. Payroll Allocation'!$H$234:$H$253,"Tied out")*('9. Payroll Allocation'!$C$8:$C$207&gt;=N$9)*('9. Payroll Allocation'!$C$8:$C$207&lt;=EOMONTH(N$9,0))*'9. Payroll Allocation'!$E$8:$E$207),2)</f>
        <v>0</v>
      </c>
      <c r="O121" s="117">
        <f>ROUND(SUMPRODUCT(('9. Payroll Allocation'!$D$8:$D$207='9. Payroll Allocation'!$B$221)*('9. Payroll Allocation'!$G$8:$G$207="Yes")*COUNTIFS('9. Payroll Allocation'!$B$234:$B$253,'9. Payroll Allocation'!$B$8:$B$207,'9. Payroll Allocation'!$H$234:$H$253,"Tied out")*('9. Payroll Allocation'!$C$8:$C$207&gt;=O$9)*('9. Payroll Allocation'!$C$8:$C$207&lt;=EOMONTH(O$9,0))*'9. Payroll Allocation'!$E$8:$E$207),2)</f>
        <v>0</v>
      </c>
      <c r="P121" s="118">
        <f>ROUND(SUMPRODUCT(('9. Payroll Allocation'!$D$8:$D$207='9. Payroll Allocation'!$B$221)*('9. Payroll Allocation'!$G$8:$G$207="Yes")*COUNTIFS('9. Payroll Allocation'!$B$234:$B$253,'9. Payroll Allocation'!$B$8:$B$207,'9. Payroll Allocation'!$H$234:$H$253,"Tied out")*('9. Payroll Allocation'!$C$8:$C$207&gt;=Yr_Start)*('9. Payroll Allocation'!$C$8:$C$207&lt;=Yr_End)*'9. Payroll Allocation'!$E$8:$E$207),2)</f>
        <v>0</v>
      </c>
    </row>
    <row r="122" spans="2:16" ht="33.75" x14ac:dyDescent="0.25">
      <c r="B122" s="119" t="str">
        <f>IF(OR('2. Setup'!$C$9="",'2. Setup'!$C$9="Not sure - ask my accountant"),"TAX CLASSIFICATION NOT SET",IF('2. Setup'!$C$9="S-Corporation","12","NOT MAPPED"))</f>
        <v>TAX CLASSIFICATION NOT SET</v>
      </c>
      <c r="C122" s="120" t="str">
        <f>'9. Payroll Allocation'!$B$222</f>
        <v>Staff employer taxes</v>
      </c>
      <c r="D122" s="121">
        <f>ROUND(SUMPRODUCT(('9. Payroll Allocation'!$D$8:$D$207='9. Payroll Allocation'!$B$222)*('9. Payroll Allocation'!$G$8:$G$207="Yes")*COUNTIFS('9. Payroll Allocation'!$B$234:$B$253,'9. Payroll Allocation'!$B$8:$B$207,'9. Payroll Allocation'!$H$234:$H$253,"Tied out")*('9. Payroll Allocation'!$C$8:$C$207&gt;=D$9)*('9. Payroll Allocation'!$C$8:$C$207&lt;=EOMONTH(D$9,0))*'9. Payroll Allocation'!$E$8:$E$207),2)</f>
        <v>0</v>
      </c>
      <c r="E122" s="121">
        <f>ROUND(SUMPRODUCT(('9. Payroll Allocation'!$D$8:$D$207='9. Payroll Allocation'!$B$222)*('9. Payroll Allocation'!$G$8:$G$207="Yes")*COUNTIFS('9. Payroll Allocation'!$B$234:$B$253,'9. Payroll Allocation'!$B$8:$B$207,'9. Payroll Allocation'!$H$234:$H$253,"Tied out")*('9. Payroll Allocation'!$C$8:$C$207&gt;=E$9)*('9. Payroll Allocation'!$C$8:$C$207&lt;=EOMONTH(E$9,0))*'9. Payroll Allocation'!$E$8:$E$207),2)</f>
        <v>0</v>
      </c>
      <c r="F122" s="121">
        <f>ROUND(SUMPRODUCT(('9. Payroll Allocation'!$D$8:$D$207='9. Payroll Allocation'!$B$222)*('9. Payroll Allocation'!$G$8:$G$207="Yes")*COUNTIFS('9. Payroll Allocation'!$B$234:$B$253,'9. Payroll Allocation'!$B$8:$B$207,'9. Payroll Allocation'!$H$234:$H$253,"Tied out")*('9. Payroll Allocation'!$C$8:$C$207&gt;=F$9)*('9. Payroll Allocation'!$C$8:$C$207&lt;=EOMONTH(F$9,0))*'9. Payroll Allocation'!$E$8:$E$207),2)</f>
        <v>0</v>
      </c>
      <c r="G122" s="121">
        <f>ROUND(SUMPRODUCT(('9. Payroll Allocation'!$D$8:$D$207='9. Payroll Allocation'!$B$222)*('9. Payroll Allocation'!$G$8:$G$207="Yes")*COUNTIFS('9. Payroll Allocation'!$B$234:$B$253,'9. Payroll Allocation'!$B$8:$B$207,'9. Payroll Allocation'!$H$234:$H$253,"Tied out")*('9. Payroll Allocation'!$C$8:$C$207&gt;=G$9)*('9. Payroll Allocation'!$C$8:$C$207&lt;=EOMONTH(G$9,0))*'9. Payroll Allocation'!$E$8:$E$207),2)</f>
        <v>0</v>
      </c>
      <c r="H122" s="121">
        <f>ROUND(SUMPRODUCT(('9. Payroll Allocation'!$D$8:$D$207='9. Payroll Allocation'!$B$222)*('9. Payroll Allocation'!$G$8:$G$207="Yes")*COUNTIFS('9. Payroll Allocation'!$B$234:$B$253,'9. Payroll Allocation'!$B$8:$B$207,'9. Payroll Allocation'!$H$234:$H$253,"Tied out")*('9. Payroll Allocation'!$C$8:$C$207&gt;=H$9)*('9. Payroll Allocation'!$C$8:$C$207&lt;=EOMONTH(H$9,0))*'9. Payroll Allocation'!$E$8:$E$207),2)</f>
        <v>0</v>
      </c>
      <c r="I122" s="121">
        <f>ROUND(SUMPRODUCT(('9. Payroll Allocation'!$D$8:$D$207='9. Payroll Allocation'!$B$222)*('9. Payroll Allocation'!$G$8:$G$207="Yes")*COUNTIFS('9. Payroll Allocation'!$B$234:$B$253,'9. Payroll Allocation'!$B$8:$B$207,'9. Payroll Allocation'!$H$234:$H$253,"Tied out")*('9. Payroll Allocation'!$C$8:$C$207&gt;=I$9)*('9. Payroll Allocation'!$C$8:$C$207&lt;=EOMONTH(I$9,0))*'9. Payroll Allocation'!$E$8:$E$207),2)</f>
        <v>0</v>
      </c>
      <c r="J122" s="121">
        <f>ROUND(SUMPRODUCT(('9. Payroll Allocation'!$D$8:$D$207='9. Payroll Allocation'!$B$222)*('9. Payroll Allocation'!$G$8:$G$207="Yes")*COUNTIFS('9. Payroll Allocation'!$B$234:$B$253,'9. Payroll Allocation'!$B$8:$B$207,'9. Payroll Allocation'!$H$234:$H$253,"Tied out")*('9. Payroll Allocation'!$C$8:$C$207&gt;=J$9)*('9. Payroll Allocation'!$C$8:$C$207&lt;=EOMONTH(J$9,0))*'9. Payroll Allocation'!$E$8:$E$207),2)</f>
        <v>0</v>
      </c>
      <c r="K122" s="121">
        <f>ROUND(SUMPRODUCT(('9. Payroll Allocation'!$D$8:$D$207='9. Payroll Allocation'!$B$222)*('9. Payroll Allocation'!$G$8:$G$207="Yes")*COUNTIFS('9. Payroll Allocation'!$B$234:$B$253,'9. Payroll Allocation'!$B$8:$B$207,'9. Payroll Allocation'!$H$234:$H$253,"Tied out")*('9. Payroll Allocation'!$C$8:$C$207&gt;=K$9)*('9. Payroll Allocation'!$C$8:$C$207&lt;=EOMONTH(K$9,0))*'9. Payroll Allocation'!$E$8:$E$207),2)</f>
        <v>0</v>
      </c>
      <c r="L122" s="121">
        <f>ROUND(SUMPRODUCT(('9. Payroll Allocation'!$D$8:$D$207='9. Payroll Allocation'!$B$222)*('9. Payroll Allocation'!$G$8:$G$207="Yes")*COUNTIFS('9. Payroll Allocation'!$B$234:$B$253,'9. Payroll Allocation'!$B$8:$B$207,'9. Payroll Allocation'!$H$234:$H$253,"Tied out")*('9. Payroll Allocation'!$C$8:$C$207&gt;=L$9)*('9. Payroll Allocation'!$C$8:$C$207&lt;=EOMONTH(L$9,0))*'9. Payroll Allocation'!$E$8:$E$207),2)</f>
        <v>0</v>
      </c>
      <c r="M122" s="121">
        <f>ROUND(SUMPRODUCT(('9. Payroll Allocation'!$D$8:$D$207='9. Payroll Allocation'!$B$222)*('9. Payroll Allocation'!$G$8:$G$207="Yes")*COUNTIFS('9. Payroll Allocation'!$B$234:$B$253,'9. Payroll Allocation'!$B$8:$B$207,'9. Payroll Allocation'!$H$234:$H$253,"Tied out")*('9. Payroll Allocation'!$C$8:$C$207&gt;=M$9)*('9. Payroll Allocation'!$C$8:$C$207&lt;=EOMONTH(M$9,0))*'9. Payroll Allocation'!$E$8:$E$207),2)</f>
        <v>0</v>
      </c>
      <c r="N122" s="121">
        <f>ROUND(SUMPRODUCT(('9. Payroll Allocation'!$D$8:$D$207='9. Payroll Allocation'!$B$222)*('9. Payroll Allocation'!$G$8:$G$207="Yes")*COUNTIFS('9. Payroll Allocation'!$B$234:$B$253,'9. Payroll Allocation'!$B$8:$B$207,'9. Payroll Allocation'!$H$234:$H$253,"Tied out")*('9. Payroll Allocation'!$C$8:$C$207&gt;=N$9)*('9. Payroll Allocation'!$C$8:$C$207&lt;=EOMONTH(N$9,0))*'9. Payroll Allocation'!$E$8:$E$207),2)</f>
        <v>0</v>
      </c>
      <c r="O122" s="121">
        <f>ROUND(SUMPRODUCT(('9. Payroll Allocation'!$D$8:$D$207='9. Payroll Allocation'!$B$222)*('9. Payroll Allocation'!$G$8:$G$207="Yes")*COUNTIFS('9. Payroll Allocation'!$B$234:$B$253,'9. Payroll Allocation'!$B$8:$B$207,'9. Payroll Allocation'!$H$234:$H$253,"Tied out")*('9. Payroll Allocation'!$C$8:$C$207&gt;=O$9)*('9. Payroll Allocation'!$C$8:$C$207&lt;=EOMONTH(O$9,0))*'9. Payroll Allocation'!$E$8:$E$207),2)</f>
        <v>0</v>
      </c>
      <c r="P122" s="122">
        <f>ROUND(SUMPRODUCT(('9. Payroll Allocation'!$D$8:$D$207='9. Payroll Allocation'!$B$222)*('9. Payroll Allocation'!$G$8:$G$207="Yes")*COUNTIFS('9. Payroll Allocation'!$B$234:$B$253,'9. Payroll Allocation'!$B$8:$B$207,'9. Payroll Allocation'!$H$234:$H$253,"Tied out")*('9. Payroll Allocation'!$C$8:$C$207&gt;=Yr_Start)*('9. Payroll Allocation'!$C$8:$C$207&lt;=Yr_End)*'9. Payroll Allocation'!$E$8:$E$207),2)</f>
        <v>0</v>
      </c>
    </row>
    <row r="123" spans="2:16" ht="33.75" x14ac:dyDescent="0.25">
      <c r="B123" s="115" t="str">
        <f>IF(OR('2. Setup'!$C$9="",'2. Setup'!$C$9="Not sure - ask my accountant"),"TAX CLASSIFICATION NOT SET",IF('2. Setup'!$C$9="S-Corporation","18","NOT MAPPED"))</f>
        <v>TAX CLASSIFICATION NOT SET</v>
      </c>
      <c r="C123" s="116" t="str">
        <f>'9. Payroll Allocation'!$B$223</f>
        <v>Employer benefits</v>
      </c>
      <c r="D123" s="117">
        <f>ROUND(SUMPRODUCT(('9. Payroll Allocation'!$D$8:$D$207='9. Payroll Allocation'!$B$223)*('9. Payroll Allocation'!$G$8:$G$207="Yes")*COUNTIFS('9. Payroll Allocation'!$B$234:$B$253,'9. Payroll Allocation'!$B$8:$B$207,'9. Payroll Allocation'!$H$234:$H$253,"Tied out")*('9. Payroll Allocation'!$C$8:$C$207&gt;=D$9)*('9. Payroll Allocation'!$C$8:$C$207&lt;=EOMONTH(D$9,0))*'9. Payroll Allocation'!$E$8:$E$207),2)</f>
        <v>0</v>
      </c>
      <c r="E123" s="117">
        <f>ROUND(SUMPRODUCT(('9. Payroll Allocation'!$D$8:$D$207='9. Payroll Allocation'!$B$223)*('9. Payroll Allocation'!$G$8:$G$207="Yes")*COUNTIFS('9. Payroll Allocation'!$B$234:$B$253,'9. Payroll Allocation'!$B$8:$B$207,'9. Payroll Allocation'!$H$234:$H$253,"Tied out")*('9. Payroll Allocation'!$C$8:$C$207&gt;=E$9)*('9. Payroll Allocation'!$C$8:$C$207&lt;=EOMONTH(E$9,0))*'9. Payroll Allocation'!$E$8:$E$207),2)</f>
        <v>0</v>
      </c>
      <c r="F123" s="117">
        <f>ROUND(SUMPRODUCT(('9. Payroll Allocation'!$D$8:$D$207='9. Payroll Allocation'!$B$223)*('9. Payroll Allocation'!$G$8:$G$207="Yes")*COUNTIFS('9. Payroll Allocation'!$B$234:$B$253,'9. Payroll Allocation'!$B$8:$B$207,'9. Payroll Allocation'!$H$234:$H$253,"Tied out")*('9. Payroll Allocation'!$C$8:$C$207&gt;=F$9)*('9. Payroll Allocation'!$C$8:$C$207&lt;=EOMONTH(F$9,0))*'9. Payroll Allocation'!$E$8:$E$207),2)</f>
        <v>0</v>
      </c>
      <c r="G123" s="117">
        <f>ROUND(SUMPRODUCT(('9. Payroll Allocation'!$D$8:$D$207='9. Payroll Allocation'!$B$223)*('9. Payroll Allocation'!$G$8:$G$207="Yes")*COUNTIFS('9. Payroll Allocation'!$B$234:$B$253,'9. Payroll Allocation'!$B$8:$B$207,'9. Payroll Allocation'!$H$234:$H$253,"Tied out")*('9. Payroll Allocation'!$C$8:$C$207&gt;=G$9)*('9. Payroll Allocation'!$C$8:$C$207&lt;=EOMONTH(G$9,0))*'9. Payroll Allocation'!$E$8:$E$207),2)</f>
        <v>0</v>
      </c>
      <c r="H123" s="117">
        <f>ROUND(SUMPRODUCT(('9. Payroll Allocation'!$D$8:$D$207='9. Payroll Allocation'!$B$223)*('9. Payroll Allocation'!$G$8:$G$207="Yes")*COUNTIFS('9. Payroll Allocation'!$B$234:$B$253,'9. Payroll Allocation'!$B$8:$B$207,'9. Payroll Allocation'!$H$234:$H$253,"Tied out")*('9. Payroll Allocation'!$C$8:$C$207&gt;=H$9)*('9. Payroll Allocation'!$C$8:$C$207&lt;=EOMONTH(H$9,0))*'9. Payroll Allocation'!$E$8:$E$207),2)</f>
        <v>0</v>
      </c>
      <c r="I123" s="117">
        <f>ROUND(SUMPRODUCT(('9. Payroll Allocation'!$D$8:$D$207='9. Payroll Allocation'!$B$223)*('9. Payroll Allocation'!$G$8:$G$207="Yes")*COUNTIFS('9. Payroll Allocation'!$B$234:$B$253,'9. Payroll Allocation'!$B$8:$B$207,'9. Payroll Allocation'!$H$234:$H$253,"Tied out")*('9. Payroll Allocation'!$C$8:$C$207&gt;=I$9)*('9. Payroll Allocation'!$C$8:$C$207&lt;=EOMONTH(I$9,0))*'9. Payroll Allocation'!$E$8:$E$207),2)</f>
        <v>0</v>
      </c>
      <c r="J123" s="117">
        <f>ROUND(SUMPRODUCT(('9. Payroll Allocation'!$D$8:$D$207='9. Payroll Allocation'!$B$223)*('9. Payroll Allocation'!$G$8:$G$207="Yes")*COUNTIFS('9. Payroll Allocation'!$B$234:$B$253,'9. Payroll Allocation'!$B$8:$B$207,'9. Payroll Allocation'!$H$234:$H$253,"Tied out")*('9. Payroll Allocation'!$C$8:$C$207&gt;=J$9)*('9. Payroll Allocation'!$C$8:$C$207&lt;=EOMONTH(J$9,0))*'9. Payroll Allocation'!$E$8:$E$207),2)</f>
        <v>0</v>
      </c>
      <c r="K123" s="117">
        <f>ROUND(SUMPRODUCT(('9. Payroll Allocation'!$D$8:$D$207='9. Payroll Allocation'!$B$223)*('9. Payroll Allocation'!$G$8:$G$207="Yes")*COUNTIFS('9. Payroll Allocation'!$B$234:$B$253,'9. Payroll Allocation'!$B$8:$B$207,'9. Payroll Allocation'!$H$234:$H$253,"Tied out")*('9. Payroll Allocation'!$C$8:$C$207&gt;=K$9)*('9. Payroll Allocation'!$C$8:$C$207&lt;=EOMONTH(K$9,0))*'9. Payroll Allocation'!$E$8:$E$207),2)</f>
        <v>0</v>
      </c>
      <c r="L123" s="117">
        <f>ROUND(SUMPRODUCT(('9. Payroll Allocation'!$D$8:$D$207='9. Payroll Allocation'!$B$223)*('9. Payroll Allocation'!$G$8:$G$207="Yes")*COUNTIFS('9. Payroll Allocation'!$B$234:$B$253,'9. Payroll Allocation'!$B$8:$B$207,'9. Payroll Allocation'!$H$234:$H$253,"Tied out")*('9. Payroll Allocation'!$C$8:$C$207&gt;=L$9)*('9. Payroll Allocation'!$C$8:$C$207&lt;=EOMONTH(L$9,0))*'9. Payroll Allocation'!$E$8:$E$207),2)</f>
        <v>0</v>
      </c>
      <c r="M123" s="117">
        <f>ROUND(SUMPRODUCT(('9. Payroll Allocation'!$D$8:$D$207='9. Payroll Allocation'!$B$223)*('9. Payroll Allocation'!$G$8:$G$207="Yes")*COUNTIFS('9. Payroll Allocation'!$B$234:$B$253,'9. Payroll Allocation'!$B$8:$B$207,'9. Payroll Allocation'!$H$234:$H$253,"Tied out")*('9. Payroll Allocation'!$C$8:$C$207&gt;=M$9)*('9. Payroll Allocation'!$C$8:$C$207&lt;=EOMONTH(M$9,0))*'9. Payroll Allocation'!$E$8:$E$207),2)</f>
        <v>0</v>
      </c>
      <c r="N123" s="117">
        <f>ROUND(SUMPRODUCT(('9. Payroll Allocation'!$D$8:$D$207='9. Payroll Allocation'!$B$223)*('9. Payroll Allocation'!$G$8:$G$207="Yes")*COUNTIFS('9. Payroll Allocation'!$B$234:$B$253,'9. Payroll Allocation'!$B$8:$B$207,'9. Payroll Allocation'!$H$234:$H$253,"Tied out")*('9. Payroll Allocation'!$C$8:$C$207&gt;=N$9)*('9. Payroll Allocation'!$C$8:$C$207&lt;=EOMONTH(N$9,0))*'9. Payroll Allocation'!$E$8:$E$207),2)</f>
        <v>0</v>
      </c>
      <c r="O123" s="117">
        <f>ROUND(SUMPRODUCT(('9. Payroll Allocation'!$D$8:$D$207='9. Payroll Allocation'!$B$223)*('9. Payroll Allocation'!$G$8:$G$207="Yes")*COUNTIFS('9. Payroll Allocation'!$B$234:$B$253,'9. Payroll Allocation'!$B$8:$B$207,'9. Payroll Allocation'!$H$234:$H$253,"Tied out")*('9. Payroll Allocation'!$C$8:$C$207&gt;=O$9)*('9. Payroll Allocation'!$C$8:$C$207&lt;=EOMONTH(O$9,0))*'9. Payroll Allocation'!$E$8:$E$207),2)</f>
        <v>0</v>
      </c>
      <c r="P123" s="118">
        <f>ROUND(SUMPRODUCT(('9. Payroll Allocation'!$D$8:$D$207='9. Payroll Allocation'!$B$223)*('9. Payroll Allocation'!$G$8:$G$207="Yes")*COUNTIFS('9. Payroll Allocation'!$B$234:$B$253,'9. Payroll Allocation'!$B$8:$B$207,'9. Payroll Allocation'!$H$234:$H$253,"Tied out")*('9. Payroll Allocation'!$C$8:$C$207&gt;=Yr_Start)*('9. Payroll Allocation'!$C$8:$C$207&lt;=Yr_End)*'9. Payroll Allocation'!$E$8:$E$207),2)</f>
        <v>0</v>
      </c>
    </row>
    <row r="124" spans="2:16" ht="33.75" x14ac:dyDescent="0.25">
      <c r="B124" s="119" t="str">
        <f>IF(OR('2. Setup'!$C$9="",'2. Setup'!$C$9="Not sure - ask my accountant"),"TAX CLASSIFICATION NOT SET",IF('2. Setup'!$C$9="S-Corporation","17","NOT MAPPED"))</f>
        <v>TAX CLASSIFICATION NOT SET</v>
      </c>
      <c r="C124" s="120" t="str">
        <f>'9. Payroll Allocation'!$B$224</f>
        <v>Employer retirement contributions</v>
      </c>
      <c r="D124" s="121">
        <f>ROUND(SUMPRODUCT(('9. Payroll Allocation'!$D$8:$D$207='9. Payroll Allocation'!$B$224)*('9. Payroll Allocation'!$G$8:$G$207="Yes")*COUNTIFS('9. Payroll Allocation'!$B$234:$B$253,'9. Payroll Allocation'!$B$8:$B$207,'9. Payroll Allocation'!$H$234:$H$253,"Tied out")*('9. Payroll Allocation'!$C$8:$C$207&gt;=D$9)*('9. Payroll Allocation'!$C$8:$C$207&lt;=EOMONTH(D$9,0))*'9. Payroll Allocation'!$E$8:$E$207),2)</f>
        <v>0</v>
      </c>
      <c r="E124" s="121">
        <f>ROUND(SUMPRODUCT(('9. Payroll Allocation'!$D$8:$D$207='9. Payroll Allocation'!$B$224)*('9. Payroll Allocation'!$G$8:$G$207="Yes")*COUNTIFS('9. Payroll Allocation'!$B$234:$B$253,'9. Payroll Allocation'!$B$8:$B$207,'9. Payroll Allocation'!$H$234:$H$253,"Tied out")*('9. Payroll Allocation'!$C$8:$C$207&gt;=E$9)*('9. Payroll Allocation'!$C$8:$C$207&lt;=EOMONTH(E$9,0))*'9. Payroll Allocation'!$E$8:$E$207),2)</f>
        <v>0</v>
      </c>
      <c r="F124" s="121">
        <f>ROUND(SUMPRODUCT(('9. Payroll Allocation'!$D$8:$D$207='9. Payroll Allocation'!$B$224)*('9. Payroll Allocation'!$G$8:$G$207="Yes")*COUNTIFS('9. Payroll Allocation'!$B$234:$B$253,'9. Payroll Allocation'!$B$8:$B$207,'9. Payroll Allocation'!$H$234:$H$253,"Tied out")*('9. Payroll Allocation'!$C$8:$C$207&gt;=F$9)*('9. Payroll Allocation'!$C$8:$C$207&lt;=EOMONTH(F$9,0))*'9. Payroll Allocation'!$E$8:$E$207),2)</f>
        <v>0</v>
      </c>
      <c r="G124" s="121">
        <f>ROUND(SUMPRODUCT(('9. Payroll Allocation'!$D$8:$D$207='9. Payroll Allocation'!$B$224)*('9. Payroll Allocation'!$G$8:$G$207="Yes")*COUNTIFS('9. Payroll Allocation'!$B$234:$B$253,'9. Payroll Allocation'!$B$8:$B$207,'9. Payroll Allocation'!$H$234:$H$253,"Tied out")*('9. Payroll Allocation'!$C$8:$C$207&gt;=G$9)*('9. Payroll Allocation'!$C$8:$C$207&lt;=EOMONTH(G$9,0))*'9. Payroll Allocation'!$E$8:$E$207),2)</f>
        <v>0</v>
      </c>
      <c r="H124" s="121">
        <f>ROUND(SUMPRODUCT(('9. Payroll Allocation'!$D$8:$D$207='9. Payroll Allocation'!$B$224)*('9. Payroll Allocation'!$G$8:$G$207="Yes")*COUNTIFS('9. Payroll Allocation'!$B$234:$B$253,'9. Payroll Allocation'!$B$8:$B$207,'9. Payroll Allocation'!$H$234:$H$253,"Tied out")*('9. Payroll Allocation'!$C$8:$C$207&gt;=H$9)*('9. Payroll Allocation'!$C$8:$C$207&lt;=EOMONTH(H$9,0))*'9. Payroll Allocation'!$E$8:$E$207),2)</f>
        <v>0</v>
      </c>
      <c r="I124" s="121">
        <f>ROUND(SUMPRODUCT(('9. Payroll Allocation'!$D$8:$D$207='9. Payroll Allocation'!$B$224)*('9. Payroll Allocation'!$G$8:$G$207="Yes")*COUNTIFS('9. Payroll Allocation'!$B$234:$B$253,'9. Payroll Allocation'!$B$8:$B$207,'9. Payroll Allocation'!$H$234:$H$253,"Tied out")*('9. Payroll Allocation'!$C$8:$C$207&gt;=I$9)*('9. Payroll Allocation'!$C$8:$C$207&lt;=EOMONTH(I$9,0))*'9. Payroll Allocation'!$E$8:$E$207),2)</f>
        <v>0</v>
      </c>
      <c r="J124" s="121">
        <f>ROUND(SUMPRODUCT(('9. Payroll Allocation'!$D$8:$D$207='9. Payroll Allocation'!$B$224)*('9. Payroll Allocation'!$G$8:$G$207="Yes")*COUNTIFS('9. Payroll Allocation'!$B$234:$B$253,'9. Payroll Allocation'!$B$8:$B$207,'9. Payroll Allocation'!$H$234:$H$253,"Tied out")*('9. Payroll Allocation'!$C$8:$C$207&gt;=J$9)*('9. Payroll Allocation'!$C$8:$C$207&lt;=EOMONTH(J$9,0))*'9. Payroll Allocation'!$E$8:$E$207),2)</f>
        <v>0</v>
      </c>
      <c r="K124" s="121">
        <f>ROUND(SUMPRODUCT(('9. Payroll Allocation'!$D$8:$D$207='9. Payroll Allocation'!$B$224)*('9. Payroll Allocation'!$G$8:$G$207="Yes")*COUNTIFS('9. Payroll Allocation'!$B$234:$B$253,'9. Payroll Allocation'!$B$8:$B$207,'9. Payroll Allocation'!$H$234:$H$253,"Tied out")*('9. Payroll Allocation'!$C$8:$C$207&gt;=K$9)*('9. Payroll Allocation'!$C$8:$C$207&lt;=EOMONTH(K$9,0))*'9. Payroll Allocation'!$E$8:$E$207),2)</f>
        <v>0</v>
      </c>
      <c r="L124" s="121">
        <f>ROUND(SUMPRODUCT(('9. Payroll Allocation'!$D$8:$D$207='9. Payroll Allocation'!$B$224)*('9. Payroll Allocation'!$G$8:$G$207="Yes")*COUNTIFS('9. Payroll Allocation'!$B$234:$B$253,'9. Payroll Allocation'!$B$8:$B$207,'9. Payroll Allocation'!$H$234:$H$253,"Tied out")*('9. Payroll Allocation'!$C$8:$C$207&gt;=L$9)*('9. Payroll Allocation'!$C$8:$C$207&lt;=EOMONTH(L$9,0))*'9. Payroll Allocation'!$E$8:$E$207),2)</f>
        <v>0</v>
      </c>
      <c r="M124" s="121">
        <f>ROUND(SUMPRODUCT(('9. Payroll Allocation'!$D$8:$D$207='9. Payroll Allocation'!$B$224)*('9. Payroll Allocation'!$G$8:$G$207="Yes")*COUNTIFS('9. Payroll Allocation'!$B$234:$B$253,'9. Payroll Allocation'!$B$8:$B$207,'9. Payroll Allocation'!$H$234:$H$253,"Tied out")*('9. Payroll Allocation'!$C$8:$C$207&gt;=M$9)*('9. Payroll Allocation'!$C$8:$C$207&lt;=EOMONTH(M$9,0))*'9. Payroll Allocation'!$E$8:$E$207),2)</f>
        <v>0</v>
      </c>
      <c r="N124" s="121">
        <f>ROUND(SUMPRODUCT(('9. Payroll Allocation'!$D$8:$D$207='9. Payroll Allocation'!$B$224)*('9. Payroll Allocation'!$G$8:$G$207="Yes")*COUNTIFS('9. Payroll Allocation'!$B$234:$B$253,'9. Payroll Allocation'!$B$8:$B$207,'9. Payroll Allocation'!$H$234:$H$253,"Tied out")*('9. Payroll Allocation'!$C$8:$C$207&gt;=N$9)*('9. Payroll Allocation'!$C$8:$C$207&lt;=EOMONTH(N$9,0))*'9. Payroll Allocation'!$E$8:$E$207),2)</f>
        <v>0</v>
      </c>
      <c r="O124" s="121">
        <f>ROUND(SUMPRODUCT(('9. Payroll Allocation'!$D$8:$D$207='9. Payroll Allocation'!$B$224)*('9. Payroll Allocation'!$G$8:$G$207="Yes")*COUNTIFS('9. Payroll Allocation'!$B$234:$B$253,'9. Payroll Allocation'!$B$8:$B$207,'9. Payroll Allocation'!$H$234:$H$253,"Tied out")*('9. Payroll Allocation'!$C$8:$C$207&gt;=O$9)*('9. Payroll Allocation'!$C$8:$C$207&lt;=EOMONTH(O$9,0))*'9. Payroll Allocation'!$E$8:$E$207),2)</f>
        <v>0</v>
      </c>
      <c r="P124" s="122">
        <f>ROUND(SUMPRODUCT(('9. Payroll Allocation'!$D$8:$D$207='9. Payroll Allocation'!$B$224)*('9. Payroll Allocation'!$G$8:$G$207="Yes")*COUNTIFS('9. Payroll Allocation'!$B$234:$B$253,'9. Payroll Allocation'!$B$8:$B$207,'9. Payroll Allocation'!$H$234:$H$253,"Tied out")*('9. Payroll Allocation'!$C$8:$C$207&gt;=Yr_Start)*('9. Payroll Allocation'!$C$8:$C$207&lt;=Yr_End)*'9. Payroll Allocation'!$E$8:$E$207),2)</f>
        <v>0</v>
      </c>
    </row>
    <row r="125" spans="2:16" ht="33.75" x14ac:dyDescent="0.25">
      <c r="B125" s="115" t="str">
        <f>IF(OR('2. Setup'!$C$9="",'2. Setup'!$C$9="Not sure - ask my accountant"),"TAX CLASSIFICATION NOT SET",IF('2. Setup'!$C$9="S-Corporation","20","NOT MAPPED"))</f>
        <v>TAX CLASSIFICATION NOT SET</v>
      </c>
      <c r="C125" s="116" t="str">
        <f>'9. Payroll Allocation'!$B$225</f>
        <v>Payroll service fees</v>
      </c>
      <c r="D125" s="117">
        <f>ROUND(SUMPRODUCT(('9. Payroll Allocation'!$D$8:$D$207='9. Payroll Allocation'!$B$225)*('9. Payroll Allocation'!$G$8:$G$207="Yes")*COUNTIFS('9. Payroll Allocation'!$B$234:$B$253,'9. Payroll Allocation'!$B$8:$B$207,'9. Payroll Allocation'!$H$234:$H$253,"Tied out")*('9. Payroll Allocation'!$C$8:$C$207&gt;=D$9)*('9. Payroll Allocation'!$C$8:$C$207&lt;=EOMONTH(D$9,0))*'9. Payroll Allocation'!$E$8:$E$207),2)</f>
        <v>0</v>
      </c>
      <c r="E125" s="117">
        <f>ROUND(SUMPRODUCT(('9. Payroll Allocation'!$D$8:$D$207='9. Payroll Allocation'!$B$225)*('9. Payroll Allocation'!$G$8:$G$207="Yes")*COUNTIFS('9. Payroll Allocation'!$B$234:$B$253,'9. Payroll Allocation'!$B$8:$B$207,'9. Payroll Allocation'!$H$234:$H$253,"Tied out")*('9. Payroll Allocation'!$C$8:$C$207&gt;=E$9)*('9. Payroll Allocation'!$C$8:$C$207&lt;=EOMONTH(E$9,0))*'9. Payroll Allocation'!$E$8:$E$207),2)</f>
        <v>0</v>
      </c>
      <c r="F125" s="117">
        <f>ROUND(SUMPRODUCT(('9. Payroll Allocation'!$D$8:$D$207='9. Payroll Allocation'!$B$225)*('9. Payroll Allocation'!$G$8:$G$207="Yes")*COUNTIFS('9. Payroll Allocation'!$B$234:$B$253,'9. Payroll Allocation'!$B$8:$B$207,'9. Payroll Allocation'!$H$234:$H$253,"Tied out")*('9. Payroll Allocation'!$C$8:$C$207&gt;=F$9)*('9. Payroll Allocation'!$C$8:$C$207&lt;=EOMONTH(F$9,0))*'9. Payroll Allocation'!$E$8:$E$207),2)</f>
        <v>0</v>
      </c>
      <c r="G125" s="117">
        <f>ROUND(SUMPRODUCT(('9. Payroll Allocation'!$D$8:$D$207='9. Payroll Allocation'!$B$225)*('9. Payroll Allocation'!$G$8:$G$207="Yes")*COUNTIFS('9. Payroll Allocation'!$B$234:$B$253,'9. Payroll Allocation'!$B$8:$B$207,'9. Payroll Allocation'!$H$234:$H$253,"Tied out")*('9. Payroll Allocation'!$C$8:$C$207&gt;=G$9)*('9. Payroll Allocation'!$C$8:$C$207&lt;=EOMONTH(G$9,0))*'9. Payroll Allocation'!$E$8:$E$207),2)</f>
        <v>0</v>
      </c>
      <c r="H125" s="117">
        <f>ROUND(SUMPRODUCT(('9. Payroll Allocation'!$D$8:$D$207='9. Payroll Allocation'!$B$225)*('9. Payroll Allocation'!$G$8:$G$207="Yes")*COUNTIFS('9. Payroll Allocation'!$B$234:$B$253,'9. Payroll Allocation'!$B$8:$B$207,'9. Payroll Allocation'!$H$234:$H$253,"Tied out")*('9. Payroll Allocation'!$C$8:$C$207&gt;=H$9)*('9. Payroll Allocation'!$C$8:$C$207&lt;=EOMONTH(H$9,0))*'9. Payroll Allocation'!$E$8:$E$207),2)</f>
        <v>0</v>
      </c>
      <c r="I125" s="117">
        <f>ROUND(SUMPRODUCT(('9. Payroll Allocation'!$D$8:$D$207='9. Payroll Allocation'!$B$225)*('9. Payroll Allocation'!$G$8:$G$207="Yes")*COUNTIFS('9. Payroll Allocation'!$B$234:$B$253,'9. Payroll Allocation'!$B$8:$B$207,'9. Payroll Allocation'!$H$234:$H$253,"Tied out")*('9. Payroll Allocation'!$C$8:$C$207&gt;=I$9)*('9. Payroll Allocation'!$C$8:$C$207&lt;=EOMONTH(I$9,0))*'9. Payroll Allocation'!$E$8:$E$207),2)</f>
        <v>0</v>
      </c>
      <c r="J125" s="117">
        <f>ROUND(SUMPRODUCT(('9. Payroll Allocation'!$D$8:$D$207='9. Payroll Allocation'!$B$225)*('9. Payroll Allocation'!$G$8:$G$207="Yes")*COUNTIFS('9. Payroll Allocation'!$B$234:$B$253,'9. Payroll Allocation'!$B$8:$B$207,'9. Payroll Allocation'!$H$234:$H$253,"Tied out")*('9. Payroll Allocation'!$C$8:$C$207&gt;=J$9)*('9. Payroll Allocation'!$C$8:$C$207&lt;=EOMONTH(J$9,0))*'9. Payroll Allocation'!$E$8:$E$207),2)</f>
        <v>0</v>
      </c>
      <c r="K125" s="117">
        <f>ROUND(SUMPRODUCT(('9. Payroll Allocation'!$D$8:$D$207='9. Payroll Allocation'!$B$225)*('9. Payroll Allocation'!$G$8:$G$207="Yes")*COUNTIFS('9. Payroll Allocation'!$B$234:$B$253,'9. Payroll Allocation'!$B$8:$B$207,'9. Payroll Allocation'!$H$234:$H$253,"Tied out")*('9. Payroll Allocation'!$C$8:$C$207&gt;=K$9)*('9. Payroll Allocation'!$C$8:$C$207&lt;=EOMONTH(K$9,0))*'9. Payroll Allocation'!$E$8:$E$207),2)</f>
        <v>0</v>
      </c>
      <c r="L125" s="117">
        <f>ROUND(SUMPRODUCT(('9. Payroll Allocation'!$D$8:$D$207='9. Payroll Allocation'!$B$225)*('9. Payroll Allocation'!$G$8:$G$207="Yes")*COUNTIFS('9. Payroll Allocation'!$B$234:$B$253,'9. Payroll Allocation'!$B$8:$B$207,'9. Payroll Allocation'!$H$234:$H$253,"Tied out")*('9. Payroll Allocation'!$C$8:$C$207&gt;=L$9)*('9. Payroll Allocation'!$C$8:$C$207&lt;=EOMONTH(L$9,0))*'9. Payroll Allocation'!$E$8:$E$207),2)</f>
        <v>0</v>
      </c>
      <c r="M125" s="117">
        <f>ROUND(SUMPRODUCT(('9. Payroll Allocation'!$D$8:$D$207='9. Payroll Allocation'!$B$225)*('9. Payroll Allocation'!$G$8:$G$207="Yes")*COUNTIFS('9. Payroll Allocation'!$B$234:$B$253,'9. Payroll Allocation'!$B$8:$B$207,'9. Payroll Allocation'!$H$234:$H$253,"Tied out")*('9. Payroll Allocation'!$C$8:$C$207&gt;=M$9)*('9. Payroll Allocation'!$C$8:$C$207&lt;=EOMONTH(M$9,0))*'9. Payroll Allocation'!$E$8:$E$207),2)</f>
        <v>0</v>
      </c>
      <c r="N125" s="117">
        <f>ROUND(SUMPRODUCT(('9. Payroll Allocation'!$D$8:$D$207='9. Payroll Allocation'!$B$225)*('9. Payroll Allocation'!$G$8:$G$207="Yes")*COUNTIFS('9. Payroll Allocation'!$B$234:$B$253,'9. Payroll Allocation'!$B$8:$B$207,'9. Payroll Allocation'!$H$234:$H$253,"Tied out")*('9. Payroll Allocation'!$C$8:$C$207&gt;=N$9)*('9. Payroll Allocation'!$C$8:$C$207&lt;=EOMONTH(N$9,0))*'9. Payroll Allocation'!$E$8:$E$207),2)</f>
        <v>0</v>
      </c>
      <c r="O125" s="117">
        <f>ROUND(SUMPRODUCT(('9. Payroll Allocation'!$D$8:$D$207='9. Payroll Allocation'!$B$225)*('9. Payroll Allocation'!$G$8:$G$207="Yes")*COUNTIFS('9. Payroll Allocation'!$B$234:$B$253,'9. Payroll Allocation'!$B$8:$B$207,'9. Payroll Allocation'!$H$234:$H$253,"Tied out")*('9. Payroll Allocation'!$C$8:$C$207&gt;=O$9)*('9. Payroll Allocation'!$C$8:$C$207&lt;=EOMONTH(O$9,0))*'9. Payroll Allocation'!$E$8:$E$207),2)</f>
        <v>0</v>
      </c>
      <c r="P125" s="118">
        <f>ROUND(SUMPRODUCT(('9. Payroll Allocation'!$D$8:$D$207='9. Payroll Allocation'!$B$225)*('9. Payroll Allocation'!$G$8:$G$207="Yes")*COUNTIFS('9. Payroll Allocation'!$B$234:$B$253,'9. Payroll Allocation'!$B$8:$B$207,'9. Payroll Allocation'!$H$234:$H$253,"Tied out")*('9. Payroll Allocation'!$C$8:$C$207&gt;=Yr_Start)*('9. Payroll Allocation'!$C$8:$C$207&lt;=Yr_End)*'9. Payroll Allocation'!$E$8:$E$207),2)</f>
        <v>0</v>
      </c>
    </row>
    <row r="126" spans="2:16" ht="33.75" x14ac:dyDescent="0.25">
      <c r="B126" s="119" t="str">
        <f>IF(OR('2. Setup'!$C$9="",'2. Setup'!$C$9="Not sure - ask my accountant"),"TAX CLASSIFICATION NOT SET",IF('2. Setup'!$C$9="S-Corporation","20","NOT MAPPED"))</f>
        <v>TAX CLASSIFICATION NOT SET</v>
      </c>
      <c r="C126" s="120" t="str">
        <f>'9. Payroll Allocation'!$B$226</f>
        <v>Employee expense reimbursements</v>
      </c>
      <c r="D126" s="121">
        <f>ROUND(SUMPRODUCT(('9. Payroll Allocation'!$D$8:$D$207='9. Payroll Allocation'!$B$226)*('9. Payroll Allocation'!$G$8:$G$207="Yes")*COUNTIFS('9. Payroll Allocation'!$B$234:$B$253,'9. Payroll Allocation'!$B$8:$B$207,'9. Payroll Allocation'!$H$234:$H$253,"Tied out")*('9. Payroll Allocation'!$C$8:$C$207&gt;=D$9)*('9. Payroll Allocation'!$C$8:$C$207&lt;=EOMONTH(D$9,0))*'9. Payroll Allocation'!$E$8:$E$207),2)</f>
        <v>0</v>
      </c>
      <c r="E126" s="121">
        <f>ROUND(SUMPRODUCT(('9. Payroll Allocation'!$D$8:$D$207='9. Payroll Allocation'!$B$226)*('9. Payroll Allocation'!$G$8:$G$207="Yes")*COUNTIFS('9. Payroll Allocation'!$B$234:$B$253,'9. Payroll Allocation'!$B$8:$B$207,'9. Payroll Allocation'!$H$234:$H$253,"Tied out")*('9. Payroll Allocation'!$C$8:$C$207&gt;=E$9)*('9. Payroll Allocation'!$C$8:$C$207&lt;=EOMONTH(E$9,0))*'9. Payroll Allocation'!$E$8:$E$207),2)</f>
        <v>0</v>
      </c>
      <c r="F126" s="121">
        <f>ROUND(SUMPRODUCT(('9. Payroll Allocation'!$D$8:$D$207='9. Payroll Allocation'!$B$226)*('9. Payroll Allocation'!$G$8:$G$207="Yes")*COUNTIFS('9. Payroll Allocation'!$B$234:$B$253,'9. Payroll Allocation'!$B$8:$B$207,'9. Payroll Allocation'!$H$234:$H$253,"Tied out")*('9. Payroll Allocation'!$C$8:$C$207&gt;=F$9)*('9. Payroll Allocation'!$C$8:$C$207&lt;=EOMONTH(F$9,0))*'9. Payroll Allocation'!$E$8:$E$207),2)</f>
        <v>0</v>
      </c>
      <c r="G126" s="121">
        <f>ROUND(SUMPRODUCT(('9. Payroll Allocation'!$D$8:$D$207='9. Payroll Allocation'!$B$226)*('9. Payroll Allocation'!$G$8:$G$207="Yes")*COUNTIFS('9. Payroll Allocation'!$B$234:$B$253,'9. Payroll Allocation'!$B$8:$B$207,'9. Payroll Allocation'!$H$234:$H$253,"Tied out")*('9. Payroll Allocation'!$C$8:$C$207&gt;=G$9)*('9. Payroll Allocation'!$C$8:$C$207&lt;=EOMONTH(G$9,0))*'9. Payroll Allocation'!$E$8:$E$207),2)</f>
        <v>0</v>
      </c>
      <c r="H126" s="121">
        <f>ROUND(SUMPRODUCT(('9. Payroll Allocation'!$D$8:$D$207='9. Payroll Allocation'!$B$226)*('9. Payroll Allocation'!$G$8:$G$207="Yes")*COUNTIFS('9. Payroll Allocation'!$B$234:$B$253,'9. Payroll Allocation'!$B$8:$B$207,'9. Payroll Allocation'!$H$234:$H$253,"Tied out")*('9. Payroll Allocation'!$C$8:$C$207&gt;=H$9)*('9. Payroll Allocation'!$C$8:$C$207&lt;=EOMONTH(H$9,0))*'9. Payroll Allocation'!$E$8:$E$207),2)</f>
        <v>0</v>
      </c>
      <c r="I126" s="121">
        <f>ROUND(SUMPRODUCT(('9. Payroll Allocation'!$D$8:$D$207='9. Payroll Allocation'!$B$226)*('9. Payroll Allocation'!$G$8:$G$207="Yes")*COUNTIFS('9. Payroll Allocation'!$B$234:$B$253,'9. Payroll Allocation'!$B$8:$B$207,'9. Payroll Allocation'!$H$234:$H$253,"Tied out")*('9. Payroll Allocation'!$C$8:$C$207&gt;=I$9)*('9. Payroll Allocation'!$C$8:$C$207&lt;=EOMONTH(I$9,0))*'9. Payroll Allocation'!$E$8:$E$207),2)</f>
        <v>0</v>
      </c>
      <c r="J126" s="121">
        <f>ROUND(SUMPRODUCT(('9. Payroll Allocation'!$D$8:$D$207='9. Payroll Allocation'!$B$226)*('9. Payroll Allocation'!$G$8:$G$207="Yes")*COUNTIFS('9. Payroll Allocation'!$B$234:$B$253,'9. Payroll Allocation'!$B$8:$B$207,'9. Payroll Allocation'!$H$234:$H$253,"Tied out")*('9. Payroll Allocation'!$C$8:$C$207&gt;=J$9)*('9. Payroll Allocation'!$C$8:$C$207&lt;=EOMONTH(J$9,0))*'9. Payroll Allocation'!$E$8:$E$207),2)</f>
        <v>0</v>
      </c>
      <c r="K126" s="121">
        <f>ROUND(SUMPRODUCT(('9. Payroll Allocation'!$D$8:$D$207='9. Payroll Allocation'!$B$226)*('9. Payroll Allocation'!$G$8:$G$207="Yes")*COUNTIFS('9. Payroll Allocation'!$B$234:$B$253,'9. Payroll Allocation'!$B$8:$B$207,'9. Payroll Allocation'!$H$234:$H$253,"Tied out")*('9. Payroll Allocation'!$C$8:$C$207&gt;=K$9)*('9. Payroll Allocation'!$C$8:$C$207&lt;=EOMONTH(K$9,0))*'9. Payroll Allocation'!$E$8:$E$207),2)</f>
        <v>0</v>
      </c>
      <c r="L126" s="121">
        <f>ROUND(SUMPRODUCT(('9. Payroll Allocation'!$D$8:$D$207='9. Payroll Allocation'!$B$226)*('9. Payroll Allocation'!$G$8:$G$207="Yes")*COUNTIFS('9. Payroll Allocation'!$B$234:$B$253,'9. Payroll Allocation'!$B$8:$B$207,'9. Payroll Allocation'!$H$234:$H$253,"Tied out")*('9. Payroll Allocation'!$C$8:$C$207&gt;=L$9)*('9. Payroll Allocation'!$C$8:$C$207&lt;=EOMONTH(L$9,0))*'9. Payroll Allocation'!$E$8:$E$207),2)</f>
        <v>0</v>
      </c>
      <c r="M126" s="121">
        <f>ROUND(SUMPRODUCT(('9. Payroll Allocation'!$D$8:$D$207='9. Payroll Allocation'!$B$226)*('9. Payroll Allocation'!$G$8:$G$207="Yes")*COUNTIFS('9. Payroll Allocation'!$B$234:$B$253,'9. Payroll Allocation'!$B$8:$B$207,'9. Payroll Allocation'!$H$234:$H$253,"Tied out")*('9. Payroll Allocation'!$C$8:$C$207&gt;=M$9)*('9. Payroll Allocation'!$C$8:$C$207&lt;=EOMONTH(M$9,0))*'9. Payroll Allocation'!$E$8:$E$207),2)</f>
        <v>0</v>
      </c>
      <c r="N126" s="121">
        <f>ROUND(SUMPRODUCT(('9. Payroll Allocation'!$D$8:$D$207='9. Payroll Allocation'!$B$226)*('9. Payroll Allocation'!$G$8:$G$207="Yes")*COUNTIFS('9. Payroll Allocation'!$B$234:$B$253,'9. Payroll Allocation'!$B$8:$B$207,'9. Payroll Allocation'!$H$234:$H$253,"Tied out")*('9. Payroll Allocation'!$C$8:$C$207&gt;=N$9)*('9. Payroll Allocation'!$C$8:$C$207&lt;=EOMONTH(N$9,0))*'9. Payroll Allocation'!$E$8:$E$207),2)</f>
        <v>0</v>
      </c>
      <c r="O126" s="121">
        <f>ROUND(SUMPRODUCT(('9. Payroll Allocation'!$D$8:$D$207='9. Payroll Allocation'!$B$226)*('9. Payroll Allocation'!$G$8:$G$207="Yes")*COUNTIFS('9. Payroll Allocation'!$B$234:$B$253,'9. Payroll Allocation'!$B$8:$B$207,'9. Payroll Allocation'!$H$234:$H$253,"Tied out")*('9. Payroll Allocation'!$C$8:$C$207&gt;=O$9)*('9. Payroll Allocation'!$C$8:$C$207&lt;=EOMONTH(O$9,0))*'9. Payroll Allocation'!$E$8:$E$207),2)</f>
        <v>0</v>
      </c>
      <c r="P126" s="122">
        <f>ROUND(SUMPRODUCT(('9. Payroll Allocation'!$D$8:$D$207='9. Payroll Allocation'!$B$226)*('9. Payroll Allocation'!$G$8:$G$207="Yes")*COUNTIFS('9. Payroll Allocation'!$B$234:$B$253,'9. Payroll Allocation'!$B$8:$B$207,'9. Payroll Allocation'!$H$234:$H$253,"Tied out")*('9. Payroll Allocation'!$C$8:$C$207&gt;=Yr_Start)*('9. Payroll Allocation'!$C$8:$C$207&lt;=Yr_End)*'9. Payroll Allocation'!$E$8:$E$207),2)</f>
        <v>0</v>
      </c>
    </row>
    <row r="127" spans="2:16" ht="8.1" customHeight="1" x14ac:dyDescent="0.25"/>
    <row r="128" spans="2:16" x14ac:dyDescent="0.25">
      <c r="B128" s="123"/>
      <c r="C128" s="112" t="s">
        <v>353</v>
      </c>
      <c r="D128" s="124">
        <f t="shared" ref="D128:P128" si="35">ROUND(D29+D34+D39+D43+D48+D55+D58+D61+D64+D70+D75+D78+D81+D96+D115+D117,2)</f>
        <v>0</v>
      </c>
      <c r="E128" s="124">
        <f t="shared" si="35"/>
        <v>0</v>
      </c>
      <c r="F128" s="124">
        <f t="shared" si="35"/>
        <v>0</v>
      </c>
      <c r="G128" s="124">
        <f t="shared" si="35"/>
        <v>0</v>
      </c>
      <c r="H128" s="124">
        <f t="shared" si="35"/>
        <v>0</v>
      </c>
      <c r="I128" s="124">
        <f t="shared" si="35"/>
        <v>0</v>
      </c>
      <c r="J128" s="124">
        <f t="shared" si="35"/>
        <v>0</v>
      </c>
      <c r="K128" s="124">
        <f t="shared" si="35"/>
        <v>0</v>
      </c>
      <c r="L128" s="124">
        <f t="shared" si="35"/>
        <v>0</v>
      </c>
      <c r="M128" s="124">
        <f t="shared" si="35"/>
        <v>0</v>
      </c>
      <c r="N128" s="124">
        <f t="shared" si="35"/>
        <v>0</v>
      </c>
      <c r="O128" s="124">
        <f t="shared" si="35"/>
        <v>0</v>
      </c>
      <c r="P128" s="125">
        <f t="shared" si="35"/>
        <v>0</v>
      </c>
    </row>
    <row r="129" spans="1:16" ht="8.1" customHeight="1" x14ac:dyDescent="0.25"/>
    <row r="130" spans="1:16" x14ac:dyDescent="0.25">
      <c r="B130" s="123"/>
      <c r="C130" s="112" t="s">
        <v>356</v>
      </c>
      <c r="D130" s="124">
        <f t="shared" ref="D130:P130" si="36">ROUND(D26-D128,2)</f>
        <v>0</v>
      </c>
      <c r="E130" s="124">
        <f t="shared" si="36"/>
        <v>0</v>
      </c>
      <c r="F130" s="124">
        <f t="shared" si="36"/>
        <v>0</v>
      </c>
      <c r="G130" s="124">
        <f t="shared" si="36"/>
        <v>0</v>
      </c>
      <c r="H130" s="124">
        <f t="shared" si="36"/>
        <v>0</v>
      </c>
      <c r="I130" s="124">
        <f t="shared" si="36"/>
        <v>0</v>
      </c>
      <c r="J130" s="124">
        <f t="shared" si="36"/>
        <v>0</v>
      </c>
      <c r="K130" s="124">
        <f t="shared" si="36"/>
        <v>0</v>
      </c>
      <c r="L130" s="124">
        <f t="shared" si="36"/>
        <v>0</v>
      </c>
      <c r="M130" s="124">
        <f t="shared" si="36"/>
        <v>0</v>
      </c>
      <c r="N130" s="124">
        <f t="shared" si="36"/>
        <v>0</v>
      </c>
      <c r="O130" s="124">
        <f t="shared" si="36"/>
        <v>0</v>
      </c>
      <c r="P130" s="125">
        <f t="shared" si="36"/>
        <v>0</v>
      </c>
    </row>
    <row r="131" spans="1:16" ht="8.1" customHeight="1" x14ac:dyDescent="0.25"/>
    <row r="132" spans="1:16" ht="20.100000000000001" customHeight="1" x14ac:dyDescent="0.25">
      <c r="A132" s="178" t="s">
        <v>455</v>
      </c>
      <c r="B132" s="173"/>
      <c r="C132" s="173"/>
      <c r="D132" s="173"/>
      <c r="E132" s="173"/>
      <c r="F132" s="173"/>
      <c r="G132" s="173"/>
      <c r="H132" s="173"/>
      <c r="I132" s="173"/>
      <c r="J132" s="173"/>
      <c r="K132" s="173"/>
      <c r="L132" s="173"/>
      <c r="M132" s="173"/>
      <c r="N132" s="173"/>
      <c r="O132" s="173"/>
      <c r="P132" s="173"/>
    </row>
    <row r="133" spans="1:16" ht="29.1" customHeight="1" x14ac:dyDescent="0.25">
      <c r="B133" s="182" t="s">
        <v>456</v>
      </c>
      <c r="C133" s="173"/>
      <c r="D133" s="173"/>
      <c r="E133" s="173"/>
      <c r="F133" s="173"/>
      <c r="G133" s="173"/>
      <c r="H133" s="173"/>
      <c r="I133" s="173"/>
      <c r="J133" s="173"/>
      <c r="K133" s="173"/>
      <c r="L133" s="173"/>
      <c r="M133" s="173"/>
      <c r="N133" s="173"/>
      <c r="O133" s="173"/>
      <c r="P133" s="173"/>
    </row>
    <row r="134" spans="1:16" x14ac:dyDescent="0.25">
      <c r="C134" s="126" t="s">
        <v>457</v>
      </c>
      <c r="F134" s="97" t="s">
        <v>458</v>
      </c>
      <c r="H134" s="97" t="s">
        <v>459</v>
      </c>
      <c r="J134" s="97" t="s">
        <v>224</v>
      </c>
      <c r="L134" s="237" t="s">
        <v>294</v>
      </c>
      <c r="M134" s="214"/>
      <c r="N134" s="214"/>
      <c r="O134" s="214"/>
      <c r="P134" s="191"/>
    </row>
    <row r="135" spans="1:16" x14ac:dyDescent="0.25">
      <c r="C135" s="107" t="s">
        <v>388</v>
      </c>
      <c r="F135" s="127">
        <f>P26</f>
        <v>0</v>
      </c>
      <c r="H135" s="127">
        <f>'12. Dashboard'!$C$9</f>
        <v>0</v>
      </c>
      <c r="J135" s="128">
        <f>ROUND($F135-$H135,2)</f>
        <v>0</v>
      </c>
      <c r="L135" s="236" t="str">
        <f>IF(ABS($J135)&lt;0.005,"Ties out","DOES NOT TIE - a category may be missing from the grouping above")</f>
        <v>Ties out</v>
      </c>
      <c r="M135" s="214"/>
      <c r="N135" s="214"/>
      <c r="O135" s="214"/>
      <c r="P135" s="191"/>
    </row>
    <row r="136" spans="1:16" x14ac:dyDescent="0.25">
      <c r="C136" s="107" t="s">
        <v>389</v>
      </c>
      <c r="F136" s="127">
        <f>P128</f>
        <v>0</v>
      </c>
      <c r="H136" s="127">
        <f>'12. Dashboard'!$C$13</f>
        <v>0</v>
      </c>
      <c r="J136" s="128">
        <f>ROUND($F136-$H136,2)</f>
        <v>0</v>
      </c>
      <c r="L136" s="236" t="str">
        <f>IF(ABS($J136)&lt;0.005,"Ties out","DOES NOT TIE - a category may be missing from the grouping above")</f>
        <v>Ties out</v>
      </c>
      <c r="M136" s="214"/>
      <c r="N136" s="214"/>
      <c r="O136" s="214"/>
      <c r="P136" s="191"/>
    </row>
    <row r="137" spans="1:16" x14ac:dyDescent="0.25">
      <c r="C137" s="107" t="s">
        <v>390</v>
      </c>
      <c r="F137" s="127">
        <f>P130</f>
        <v>0</v>
      </c>
      <c r="H137" s="127">
        <f>'12. Dashboard'!$C$14</f>
        <v>0</v>
      </c>
      <c r="J137" s="128">
        <f>ROUND($F137-$H137,2)</f>
        <v>0</v>
      </c>
      <c r="L137" s="236" t="str">
        <f>IF(ABS($J137)&lt;0.005,"Ties out","DOES NOT TIE - a category may be missing from the grouping above")</f>
        <v>Ties out</v>
      </c>
      <c r="M137" s="214"/>
      <c r="N137" s="214"/>
      <c r="O137" s="214"/>
      <c r="P137" s="191"/>
    </row>
    <row r="138" spans="1:16" ht="8.1" customHeight="1" x14ac:dyDescent="0.25"/>
    <row r="139" spans="1:16" x14ac:dyDescent="0.25">
      <c r="B139" s="234" t="s">
        <v>460</v>
      </c>
      <c r="C139" s="214"/>
      <c r="D139" s="214"/>
      <c r="E139" s="214"/>
      <c r="F139" s="214"/>
      <c r="G139" s="214"/>
      <c r="H139" s="214"/>
      <c r="I139" s="214"/>
      <c r="J139" s="214"/>
      <c r="K139" s="214"/>
      <c r="L139" s="214"/>
      <c r="M139" s="214"/>
      <c r="N139" s="214"/>
      <c r="O139" s="214"/>
      <c r="P139" s="191"/>
    </row>
    <row r="140" spans="1:16" ht="29.1" customHeight="1" x14ac:dyDescent="0.25">
      <c r="B140" s="232" t="s">
        <v>461</v>
      </c>
      <c r="C140" s="173"/>
      <c r="D140" s="173"/>
      <c r="E140" s="173"/>
      <c r="F140" s="173"/>
      <c r="G140" s="173"/>
      <c r="H140" s="173"/>
      <c r="I140" s="173"/>
      <c r="J140" s="173"/>
      <c r="K140" s="173"/>
      <c r="L140" s="173"/>
      <c r="M140" s="173"/>
      <c r="N140" s="173"/>
      <c r="O140" s="173"/>
      <c r="P140" s="173"/>
    </row>
    <row r="141" spans="1:16" ht="8.1" customHeight="1" x14ac:dyDescent="0.25"/>
    <row r="142" spans="1:16" x14ac:dyDescent="0.25">
      <c r="B142" s="234" t="s">
        <v>462</v>
      </c>
      <c r="C142" s="214"/>
      <c r="D142" s="214"/>
      <c r="E142" s="214"/>
      <c r="F142" s="214"/>
      <c r="G142" s="214"/>
      <c r="H142" s="214"/>
      <c r="I142" s="214"/>
      <c r="J142" s="214"/>
      <c r="K142" s="214"/>
      <c r="L142" s="214"/>
      <c r="M142" s="214"/>
      <c r="N142" s="214"/>
      <c r="O142" s="214"/>
      <c r="P142" s="191"/>
    </row>
    <row r="143" spans="1:16" ht="29.1" customHeight="1" x14ac:dyDescent="0.25">
      <c r="B143" s="232" t="s">
        <v>463</v>
      </c>
      <c r="C143" s="173"/>
      <c r="D143" s="173"/>
      <c r="E143" s="173"/>
      <c r="F143" s="173"/>
      <c r="G143" s="173"/>
      <c r="H143" s="173"/>
      <c r="I143" s="173"/>
      <c r="J143" s="173"/>
      <c r="K143" s="173"/>
      <c r="L143" s="173"/>
      <c r="M143" s="173"/>
      <c r="N143" s="173"/>
      <c r="O143" s="173"/>
      <c r="P143" s="173"/>
    </row>
    <row r="144" spans="1:16" ht="8.1" customHeight="1" x14ac:dyDescent="0.25"/>
    <row r="145" spans="1:16" x14ac:dyDescent="0.25">
      <c r="B145" s="234" t="s">
        <v>464</v>
      </c>
      <c r="C145" s="214"/>
      <c r="D145" s="214"/>
      <c r="E145" s="214"/>
      <c r="F145" s="214"/>
      <c r="G145" s="214"/>
      <c r="H145" s="214"/>
      <c r="I145" s="214"/>
      <c r="J145" s="214"/>
      <c r="K145" s="214"/>
      <c r="L145" s="214"/>
      <c r="M145" s="214"/>
      <c r="N145" s="214"/>
      <c r="O145" s="214"/>
      <c r="P145" s="191"/>
    </row>
    <row r="146" spans="1:16" ht="29.1" customHeight="1" x14ac:dyDescent="0.25">
      <c r="B146" s="232" t="s">
        <v>465</v>
      </c>
      <c r="C146" s="173"/>
      <c r="D146" s="173"/>
      <c r="E146" s="173"/>
      <c r="F146" s="173"/>
      <c r="G146" s="173"/>
      <c r="H146" s="173"/>
      <c r="I146" s="173"/>
      <c r="J146" s="173"/>
      <c r="K146" s="173"/>
      <c r="L146" s="173"/>
      <c r="M146" s="173"/>
      <c r="N146" s="173"/>
      <c r="O146" s="173"/>
      <c r="P146" s="173"/>
    </row>
    <row r="147" spans="1:16" ht="8.1" customHeight="1" x14ac:dyDescent="0.25"/>
    <row r="148" spans="1:16" ht="15.6" customHeight="1" x14ac:dyDescent="0.25">
      <c r="A148" s="187" t="s">
        <v>69</v>
      </c>
      <c r="B148" s="173"/>
      <c r="C148" s="173"/>
      <c r="D148" s="173"/>
      <c r="E148" s="173"/>
      <c r="F148" s="173"/>
      <c r="G148" s="173"/>
      <c r="H148" s="173"/>
      <c r="I148" s="173"/>
      <c r="J148" s="173"/>
      <c r="K148" s="173"/>
      <c r="L148" s="173"/>
      <c r="M148" s="173"/>
      <c r="N148" s="173"/>
      <c r="O148" s="173"/>
      <c r="P148" s="173"/>
    </row>
  </sheetData>
  <sheetProtection sheet="1" formatCells="0" formatColumns="0" formatRows="0" insertRows="0" deleteRows="0"/>
  <mergeCells count="21">
    <mergeCell ref="B146:P146"/>
    <mergeCell ref="L136:P136"/>
    <mergeCell ref="B143:P143"/>
    <mergeCell ref="A148:P148"/>
    <mergeCell ref="B139:P139"/>
    <mergeCell ref="B145:P145"/>
    <mergeCell ref="L137:P137"/>
    <mergeCell ref="A1:P1"/>
    <mergeCell ref="A132:P132"/>
    <mergeCell ref="B142:P142"/>
    <mergeCell ref="B7:P7"/>
    <mergeCell ref="B140:P140"/>
    <mergeCell ref="A3:P3"/>
    <mergeCell ref="A2:P2"/>
    <mergeCell ref="A5:P5"/>
    <mergeCell ref="L135:P135"/>
    <mergeCell ref="L134:P134"/>
    <mergeCell ref="A10:P10"/>
    <mergeCell ref="A28:P28"/>
    <mergeCell ref="C118:P118"/>
    <mergeCell ref="B133:P133"/>
  </mergeCells>
  <conditionalFormatting sqref="J135:J137">
    <cfRule type="expression" dxfId="8" priority="2">
      <formula>ABS($J135)&gt;=0.005</formula>
    </cfRule>
    <cfRule type="expression" dxfId="7" priority="3">
      <formula>ABS($J135)&lt;0.005</formula>
    </cfRule>
  </conditionalFormatting>
  <conditionalFormatting sqref="L135:L137">
    <cfRule type="expression" dxfId="6" priority="4">
      <formula>ABS($J135)&gt;=0.005</formula>
    </cfRule>
    <cfRule type="expression" dxfId="5" priority="5">
      <formula>ABS($J135)&lt;0.005</formula>
    </cfRule>
  </conditionalFormatting>
  <conditionalFormatting sqref="P130">
    <cfRule type="cellIs" dxfId="4" priority="1" operator="lessThan">
      <formula>0</formula>
    </cfRule>
  </conditionalFormatting>
  <pageMargins left="0.75" right="0.75" top="1" bottom="1" header="0.5" footer="0.5"/>
  <pageSetup fitToHeight="0"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A6A6A6"/>
  </sheetPr>
  <dimension ref="A1:I114"/>
  <sheetViews>
    <sheetView showGridLines="0" workbookViewId="0">
      <pane ySplit="7" topLeftCell="A8" activePane="bottomLeft" state="frozen"/>
      <selection pane="bottomLeft"/>
    </sheetView>
  </sheetViews>
  <sheetFormatPr defaultRowHeight="15" x14ac:dyDescent="0.25"/>
  <cols>
    <col min="1" max="1" width="3" customWidth="1"/>
    <col min="2" max="2" width="50" customWidth="1"/>
    <col min="3" max="3" width="26" customWidth="1"/>
    <col min="4" max="4" width="27" customWidth="1"/>
    <col min="5" max="5" width="100" customWidth="1"/>
    <col min="6" max="7" width="13" customWidth="1"/>
    <col min="8" max="8" width="3" customWidth="1"/>
    <col min="9" max="9" width="46" customWidth="1"/>
  </cols>
  <sheetData>
    <row r="1" spans="1:9" ht="27.95" customHeight="1" x14ac:dyDescent="0.25">
      <c r="A1" s="174" t="s">
        <v>466</v>
      </c>
      <c r="B1" s="173"/>
      <c r="C1" s="173"/>
      <c r="D1" s="173"/>
      <c r="E1" s="173"/>
      <c r="F1" s="173"/>
      <c r="G1" s="173"/>
      <c r="H1" s="173"/>
      <c r="I1" s="173"/>
    </row>
    <row r="2" spans="1:9" ht="17.100000000000001" customHeight="1" x14ac:dyDescent="0.25">
      <c r="A2" s="188" t="s">
        <v>467</v>
      </c>
      <c r="B2" s="173"/>
      <c r="C2" s="173"/>
      <c r="D2" s="173"/>
      <c r="E2" s="173"/>
      <c r="F2" s="173"/>
      <c r="G2" s="173"/>
      <c r="H2" s="173"/>
      <c r="I2" s="173"/>
    </row>
    <row r="3" spans="1:9" ht="14.1" customHeight="1" x14ac:dyDescent="0.25">
      <c r="A3" s="179" t="s">
        <v>2</v>
      </c>
      <c r="B3" s="173"/>
      <c r="C3" s="173"/>
      <c r="D3" s="173"/>
      <c r="E3" s="173"/>
      <c r="F3" s="173"/>
      <c r="G3" s="173"/>
      <c r="H3" s="173"/>
      <c r="I3" s="173"/>
    </row>
    <row r="4" spans="1:9" ht="8.1" customHeight="1" x14ac:dyDescent="0.25"/>
    <row r="5" spans="1:9" ht="16.350000000000001" customHeight="1" x14ac:dyDescent="0.25">
      <c r="A5" s="238" t="s">
        <v>468</v>
      </c>
      <c r="B5" s="173"/>
      <c r="C5" s="173"/>
      <c r="D5" s="173"/>
      <c r="E5" s="173"/>
      <c r="F5" s="173"/>
      <c r="G5" s="173"/>
      <c r="H5" s="173"/>
      <c r="I5" s="173"/>
    </row>
    <row r="6" spans="1:9" ht="8.1" customHeight="1" x14ac:dyDescent="0.25"/>
    <row r="7" spans="1:9" ht="26.1" customHeight="1" x14ac:dyDescent="0.25">
      <c r="A7" s="27"/>
      <c r="B7" s="27" t="s">
        <v>469</v>
      </c>
      <c r="C7" s="27" t="s">
        <v>199</v>
      </c>
      <c r="D7" s="27" t="s">
        <v>470</v>
      </c>
      <c r="E7" s="27" t="s">
        <v>471</v>
      </c>
      <c r="F7" s="27" t="s">
        <v>472</v>
      </c>
      <c r="G7" s="27" t="s">
        <v>473</v>
      </c>
      <c r="I7" s="27" t="s">
        <v>474</v>
      </c>
    </row>
    <row r="8" spans="1:9" ht="15.6" customHeight="1" x14ac:dyDescent="0.25">
      <c r="B8" s="54" t="s">
        <v>475</v>
      </c>
      <c r="C8" s="75" t="s">
        <v>476</v>
      </c>
      <c r="D8" s="129" t="s">
        <v>379</v>
      </c>
      <c r="E8" s="76" t="s">
        <v>477</v>
      </c>
      <c r="F8" s="130"/>
      <c r="G8" s="130"/>
      <c r="I8" s="97" t="s">
        <v>478</v>
      </c>
    </row>
    <row r="9" spans="1:9" ht="15.6" customHeight="1" x14ac:dyDescent="0.25">
      <c r="B9" s="62" t="s">
        <v>479</v>
      </c>
      <c r="C9" s="73" t="s">
        <v>476</v>
      </c>
      <c r="D9" s="131" t="s">
        <v>379</v>
      </c>
      <c r="E9" s="74" t="s">
        <v>480</v>
      </c>
      <c r="F9" s="132"/>
      <c r="G9" s="132"/>
      <c r="I9" s="89" t="s">
        <v>481</v>
      </c>
    </row>
    <row r="10" spans="1:9" ht="15.6" customHeight="1" x14ac:dyDescent="0.25">
      <c r="B10" s="54" t="s">
        <v>482</v>
      </c>
      <c r="C10" s="75" t="s">
        <v>476</v>
      </c>
      <c r="D10" s="129" t="s">
        <v>379</v>
      </c>
      <c r="E10" s="76" t="s">
        <v>483</v>
      </c>
      <c r="F10" s="130"/>
      <c r="G10" s="130"/>
      <c r="I10" s="89" t="s">
        <v>484</v>
      </c>
    </row>
    <row r="11" spans="1:9" ht="15.6" customHeight="1" x14ac:dyDescent="0.25">
      <c r="B11" s="62" t="s">
        <v>485</v>
      </c>
      <c r="C11" s="73" t="s">
        <v>476</v>
      </c>
      <c r="D11" s="131" t="s">
        <v>379</v>
      </c>
      <c r="E11" s="74" t="s">
        <v>486</v>
      </c>
      <c r="F11" s="132"/>
      <c r="G11" s="132"/>
      <c r="I11" s="89" t="s">
        <v>487</v>
      </c>
    </row>
    <row r="12" spans="1:9" ht="15.6" customHeight="1" x14ac:dyDescent="0.25">
      <c r="B12" s="54" t="s">
        <v>488</v>
      </c>
      <c r="C12" s="75" t="s">
        <v>476</v>
      </c>
      <c r="D12" s="129" t="s">
        <v>379</v>
      </c>
      <c r="E12" s="76" t="s">
        <v>489</v>
      </c>
      <c r="F12" s="130"/>
      <c r="G12" s="130"/>
      <c r="I12" s="89" t="s">
        <v>490</v>
      </c>
    </row>
    <row r="13" spans="1:9" ht="15.6" customHeight="1" x14ac:dyDescent="0.25">
      <c r="B13" s="62" t="s">
        <v>491</v>
      </c>
      <c r="C13" s="73" t="s">
        <v>476</v>
      </c>
      <c r="D13" s="131" t="s">
        <v>379</v>
      </c>
      <c r="E13" s="74" t="s">
        <v>492</v>
      </c>
      <c r="F13" s="132"/>
      <c r="G13" s="132"/>
      <c r="I13" s="89" t="s">
        <v>493</v>
      </c>
    </row>
    <row r="14" spans="1:9" ht="15.6" customHeight="1" x14ac:dyDescent="0.25">
      <c r="B14" s="54" t="s">
        <v>494</v>
      </c>
      <c r="C14" s="75" t="s">
        <v>476</v>
      </c>
      <c r="D14" s="129" t="s">
        <v>379</v>
      </c>
      <c r="E14" s="76" t="s">
        <v>495</v>
      </c>
      <c r="F14" s="130"/>
      <c r="G14" s="130"/>
      <c r="I14" s="97" t="s">
        <v>496</v>
      </c>
    </row>
    <row r="15" spans="1:9" ht="15.6" customHeight="1" x14ac:dyDescent="0.25">
      <c r="B15" s="62" t="s">
        <v>497</v>
      </c>
      <c r="C15" s="73" t="s">
        <v>476</v>
      </c>
      <c r="D15" s="131" t="s">
        <v>379</v>
      </c>
      <c r="E15" s="74" t="s">
        <v>498</v>
      </c>
      <c r="F15" s="132"/>
      <c r="G15" s="132"/>
      <c r="I15" s="89" t="s">
        <v>475</v>
      </c>
    </row>
    <row r="16" spans="1:9" ht="15.6" customHeight="1" x14ac:dyDescent="0.25">
      <c r="B16" s="54" t="s">
        <v>499</v>
      </c>
      <c r="C16" s="75" t="s">
        <v>476</v>
      </c>
      <c r="D16" s="129" t="s">
        <v>379</v>
      </c>
      <c r="E16" s="76"/>
      <c r="F16" s="130"/>
      <c r="G16" s="130"/>
      <c r="I16" s="89" t="s">
        <v>479</v>
      </c>
    </row>
    <row r="17" spans="2:9" ht="15.6" customHeight="1" x14ac:dyDescent="0.25">
      <c r="B17" s="62" t="s">
        <v>500</v>
      </c>
      <c r="C17" s="73" t="s">
        <v>476</v>
      </c>
      <c r="D17" s="131" t="s">
        <v>379</v>
      </c>
      <c r="E17" s="74" t="s">
        <v>501</v>
      </c>
      <c r="F17" s="132"/>
      <c r="G17" s="132"/>
      <c r="I17" s="89" t="s">
        <v>482</v>
      </c>
    </row>
    <row r="18" spans="2:9" ht="15.6" customHeight="1" x14ac:dyDescent="0.25">
      <c r="B18" s="54" t="s">
        <v>502</v>
      </c>
      <c r="C18" s="75" t="s">
        <v>476</v>
      </c>
      <c r="D18" s="129" t="s">
        <v>379</v>
      </c>
      <c r="E18" s="76"/>
      <c r="F18" s="130"/>
      <c r="G18" s="130"/>
      <c r="I18" s="89" t="s">
        <v>485</v>
      </c>
    </row>
    <row r="19" spans="2:9" ht="15.6" customHeight="1" x14ac:dyDescent="0.25">
      <c r="B19" s="62" t="s">
        <v>503</v>
      </c>
      <c r="C19" s="73" t="s">
        <v>476</v>
      </c>
      <c r="D19" s="131" t="s">
        <v>379</v>
      </c>
      <c r="E19" s="74" t="s">
        <v>504</v>
      </c>
      <c r="F19" s="132"/>
      <c r="G19" s="132"/>
      <c r="I19" s="89" t="s">
        <v>488</v>
      </c>
    </row>
    <row r="20" spans="2:9" ht="15.6" customHeight="1" x14ac:dyDescent="0.25">
      <c r="B20" s="54" t="s">
        <v>505</v>
      </c>
      <c r="C20" s="75" t="s">
        <v>476</v>
      </c>
      <c r="D20" s="129" t="s">
        <v>379</v>
      </c>
      <c r="E20" s="76" t="s">
        <v>506</v>
      </c>
      <c r="F20" s="130"/>
      <c r="G20" s="130"/>
      <c r="I20" s="89" t="s">
        <v>491</v>
      </c>
    </row>
    <row r="21" spans="2:9" ht="15.6" customHeight="1" x14ac:dyDescent="0.25">
      <c r="B21" s="62" t="s">
        <v>507</v>
      </c>
      <c r="C21" s="73" t="s">
        <v>476</v>
      </c>
      <c r="D21" s="131" t="s">
        <v>379</v>
      </c>
      <c r="E21" s="74"/>
      <c r="F21" s="132"/>
      <c r="G21" s="132"/>
      <c r="I21" s="89" t="s">
        <v>494</v>
      </c>
    </row>
    <row r="22" spans="2:9" ht="15.6" customHeight="1" x14ac:dyDescent="0.25">
      <c r="B22" s="54" t="s">
        <v>508</v>
      </c>
      <c r="C22" s="75" t="s">
        <v>509</v>
      </c>
      <c r="D22" s="129" t="s">
        <v>510</v>
      </c>
      <c r="E22" s="76" t="s">
        <v>511</v>
      </c>
      <c r="F22" s="130"/>
      <c r="G22" s="130"/>
      <c r="I22" s="89" t="s">
        <v>497</v>
      </c>
    </row>
    <row r="23" spans="2:9" ht="15.6" customHeight="1" x14ac:dyDescent="0.25">
      <c r="B23" s="62" t="s">
        <v>512</v>
      </c>
      <c r="C23" s="73" t="s">
        <v>509</v>
      </c>
      <c r="D23" s="131" t="s">
        <v>510</v>
      </c>
      <c r="E23" s="74" t="s">
        <v>513</v>
      </c>
      <c r="F23" s="132"/>
      <c r="G23" s="132"/>
      <c r="I23" s="89" t="s">
        <v>499</v>
      </c>
    </row>
    <row r="24" spans="2:9" ht="15.6" customHeight="1" x14ac:dyDescent="0.25">
      <c r="B24" s="54" t="s">
        <v>514</v>
      </c>
      <c r="C24" s="75" t="s">
        <v>515</v>
      </c>
      <c r="D24" s="129" t="s">
        <v>516</v>
      </c>
      <c r="E24" s="76" t="s">
        <v>517</v>
      </c>
      <c r="F24" s="130" t="s">
        <v>518</v>
      </c>
      <c r="G24" s="130" t="s">
        <v>519</v>
      </c>
      <c r="I24" s="89" t="s">
        <v>500</v>
      </c>
    </row>
    <row r="25" spans="2:9" ht="15.6" customHeight="1" x14ac:dyDescent="0.25">
      <c r="B25" s="62" t="s">
        <v>520</v>
      </c>
      <c r="C25" s="73" t="s">
        <v>515</v>
      </c>
      <c r="D25" s="131" t="s">
        <v>516</v>
      </c>
      <c r="E25" s="74" t="s">
        <v>517</v>
      </c>
      <c r="F25" s="132" t="s">
        <v>518</v>
      </c>
      <c r="G25" s="132" t="s">
        <v>519</v>
      </c>
      <c r="I25" s="89" t="s">
        <v>502</v>
      </c>
    </row>
    <row r="26" spans="2:9" ht="15.6" customHeight="1" x14ac:dyDescent="0.25">
      <c r="B26" s="54" t="s">
        <v>521</v>
      </c>
      <c r="C26" s="75" t="s">
        <v>515</v>
      </c>
      <c r="D26" s="129" t="s">
        <v>516</v>
      </c>
      <c r="E26" s="76" t="s">
        <v>522</v>
      </c>
      <c r="F26" s="130"/>
      <c r="G26" s="130"/>
      <c r="I26" s="89" t="s">
        <v>503</v>
      </c>
    </row>
    <row r="27" spans="2:9" ht="15.6" customHeight="1" x14ac:dyDescent="0.25">
      <c r="B27" s="62" t="s">
        <v>523</v>
      </c>
      <c r="C27" s="73" t="s">
        <v>515</v>
      </c>
      <c r="D27" s="131" t="s">
        <v>516</v>
      </c>
      <c r="E27" s="74" t="s">
        <v>524</v>
      </c>
      <c r="F27" s="132" t="s">
        <v>518</v>
      </c>
      <c r="G27" s="132" t="s">
        <v>519</v>
      </c>
      <c r="I27" s="89" t="s">
        <v>505</v>
      </c>
    </row>
    <row r="28" spans="2:9" ht="15.6" customHeight="1" x14ac:dyDescent="0.25">
      <c r="B28" s="54" t="s">
        <v>525</v>
      </c>
      <c r="C28" s="75" t="s">
        <v>515</v>
      </c>
      <c r="D28" s="129" t="s">
        <v>516</v>
      </c>
      <c r="E28" s="76" t="s">
        <v>526</v>
      </c>
      <c r="F28" s="130" t="s">
        <v>527</v>
      </c>
      <c r="G28" s="130" t="s">
        <v>519</v>
      </c>
      <c r="I28" s="89" t="s">
        <v>507</v>
      </c>
    </row>
    <row r="29" spans="2:9" ht="15.6" customHeight="1" x14ac:dyDescent="0.25">
      <c r="B29" s="62" t="s">
        <v>528</v>
      </c>
      <c r="C29" s="73" t="s">
        <v>515</v>
      </c>
      <c r="D29" s="131" t="s">
        <v>516</v>
      </c>
      <c r="E29" s="74" t="s">
        <v>529</v>
      </c>
      <c r="F29" s="132"/>
      <c r="G29" s="132"/>
      <c r="I29" s="97" t="s">
        <v>530</v>
      </c>
    </row>
    <row r="30" spans="2:9" ht="15.6" customHeight="1" x14ac:dyDescent="0.25">
      <c r="B30" s="54" t="s">
        <v>531</v>
      </c>
      <c r="C30" s="75" t="s">
        <v>515</v>
      </c>
      <c r="D30" s="129" t="s">
        <v>516</v>
      </c>
      <c r="E30" s="76" t="s">
        <v>532</v>
      </c>
      <c r="F30" s="130" t="s">
        <v>533</v>
      </c>
      <c r="G30" s="130" t="s">
        <v>34</v>
      </c>
      <c r="I30" s="89" t="s">
        <v>508</v>
      </c>
    </row>
    <row r="31" spans="2:9" ht="15.6" customHeight="1" x14ac:dyDescent="0.25">
      <c r="B31" s="62" t="s">
        <v>534</v>
      </c>
      <c r="C31" s="73" t="s">
        <v>515</v>
      </c>
      <c r="D31" s="131" t="s">
        <v>516</v>
      </c>
      <c r="E31" s="74" t="s">
        <v>526</v>
      </c>
      <c r="F31" s="132" t="s">
        <v>527</v>
      </c>
      <c r="G31" s="132" t="s">
        <v>519</v>
      </c>
      <c r="I31" s="89" t="s">
        <v>512</v>
      </c>
    </row>
    <row r="32" spans="2:9" ht="15.6" customHeight="1" x14ac:dyDescent="0.25">
      <c r="B32" s="54" t="s">
        <v>535</v>
      </c>
      <c r="C32" s="75" t="s">
        <v>515</v>
      </c>
      <c r="D32" s="129" t="s">
        <v>516</v>
      </c>
      <c r="E32" s="76" t="s">
        <v>524</v>
      </c>
      <c r="F32" s="130" t="s">
        <v>518</v>
      </c>
      <c r="G32" s="130" t="s">
        <v>519</v>
      </c>
      <c r="I32" s="97" t="s">
        <v>536</v>
      </c>
    </row>
    <row r="33" spans="2:9" ht="15.6" customHeight="1" x14ac:dyDescent="0.25">
      <c r="B33" s="62" t="s">
        <v>537</v>
      </c>
      <c r="C33" s="73" t="s">
        <v>515</v>
      </c>
      <c r="D33" s="131" t="s">
        <v>516</v>
      </c>
      <c r="E33" s="74" t="s">
        <v>538</v>
      </c>
      <c r="F33" s="132"/>
      <c r="G33" s="132"/>
      <c r="I33" s="89" t="s">
        <v>514</v>
      </c>
    </row>
    <row r="34" spans="2:9" ht="15.6" customHeight="1" x14ac:dyDescent="0.25">
      <c r="B34" s="54" t="s">
        <v>539</v>
      </c>
      <c r="C34" s="75" t="s">
        <v>515</v>
      </c>
      <c r="D34" s="129" t="s">
        <v>540</v>
      </c>
      <c r="E34" s="76" t="s">
        <v>541</v>
      </c>
      <c r="F34" s="130" t="s">
        <v>542</v>
      </c>
      <c r="G34" s="130" t="s">
        <v>34</v>
      </c>
      <c r="I34" s="89" t="s">
        <v>520</v>
      </c>
    </row>
    <row r="35" spans="2:9" ht="15.6" customHeight="1" x14ac:dyDescent="0.25">
      <c r="B35" s="62" t="s">
        <v>543</v>
      </c>
      <c r="C35" s="73" t="s">
        <v>515</v>
      </c>
      <c r="D35" s="131" t="s">
        <v>540</v>
      </c>
      <c r="E35" s="74" t="s">
        <v>544</v>
      </c>
      <c r="F35" s="132" t="s">
        <v>545</v>
      </c>
      <c r="G35" s="132" t="s">
        <v>519</v>
      </c>
      <c r="I35" s="89" t="s">
        <v>521</v>
      </c>
    </row>
    <row r="36" spans="2:9" ht="15.6" customHeight="1" x14ac:dyDescent="0.25">
      <c r="B36" s="54" t="s">
        <v>546</v>
      </c>
      <c r="C36" s="75" t="s">
        <v>515</v>
      </c>
      <c r="D36" s="129" t="s">
        <v>540</v>
      </c>
      <c r="E36" s="76" t="s">
        <v>547</v>
      </c>
      <c r="F36" s="130"/>
      <c r="G36" s="130"/>
      <c r="I36" s="89" t="s">
        <v>523</v>
      </c>
    </row>
    <row r="37" spans="2:9" ht="15.6" customHeight="1" x14ac:dyDescent="0.25">
      <c r="B37" s="62" t="s">
        <v>548</v>
      </c>
      <c r="C37" s="73" t="s">
        <v>515</v>
      </c>
      <c r="D37" s="131" t="s">
        <v>540</v>
      </c>
      <c r="E37" s="74" t="s">
        <v>526</v>
      </c>
      <c r="F37" s="132" t="s">
        <v>527</v>
      </c>
      <c r="G37" s="132" t="s">
        <v>519</v>
      </c>
      <c r="I37" s="89" t="s">
        <v>525</v>
      </c>
    </row>
    <row r="38" spans="2:9" ht="15.6" customHeight="1" x14ac:dyDescent="0.25">
      <c r="B38" s="54" t="s">
        <v>549</v>
      </c>
      <c r="C38" s="75" t="s">
        <v>515</v>
      </c>
      <c r="D38" s="129" t="s">
        <v>540</v>
      </c>
      <c r="E38" s="76" t="s">
        <v>550</v>
      </c>
      <c r="F38" s="130" t="s">
        <v>551</v>
      </c>
      <c r="G38" s="130" t="s">
        <v>25</v>
      </c>
      <c r="I38" s="89" t="s">
        <v>528</v>
      </c>
    </row>
    <row r="39" spans="2:9" ht="15.6" customHeight="1" x14ac:dyDescent="0.25">
      <c r="B39" s="62" t="s">
        <v>552</v>
      </c>
      <c r="C39" s="73" t="s">
        <v>515</v>
      </c>
      <c r="D39" s="131" t="s">
        <v>540</v>
      </c>
      <c r="E39" s="74" t="s">
        <v>553</v>
      </c>
      <c r="F39" s="132" t="s">
        <v>554</v>
      </c>
      <c r="G39" s="132" t="s">
        <v>519</v>
      </c>
      <c r="I39" s="89" t="s">
        <v>531</v>
      </c>
    </row>
    <row r="40" spans="2:9" ht="15.6" customHeight="1" x14ac:dyDescent="0.25">
      <c r="B40" s="54" t="s">
        <v>555</v>
      </c>
      <c r="C40" s="75" t="s">
        <v>515</v>
      </c>
      <c r="D40" s="129" t="s">
        <v>540</v>
      </c>
      <c r="E40" s="76" t="s">
        <v>553</v>
      </c>
      <c r="F40" s="130" t="s">
        <v>554</v>
      </c>
      <c r="G40" s="130" t="s">
        <v>519</v>
      </c>
      <c r="I40" s="89" t="s">
        <v>534</v>
      </c>
    </row>
    <row r="41" spans="2:9" ht="15.6" customHeight="1" x14ac:dyDescent="0.25">
      <c r="B41" s="62" t="s">
        <v>556</v>
      </c>
      <c r="C41" s="73" t="s">
        <v>515</v>
      </c>
      <c r="D41" s="131" t="s">
        <v>540</v>
      </c>
      <c r="E41" s="74" t="s">
        <v>526</v>
      </c>
      <c r="F41" s="132" t="s">
        <v>527</v>
      </c>
      <c r="G41" s="132" t="s">
        <v>519</v>
      </c>
      <c r="I41" s="89" t="s">
        <v>535</v>
      </c>
    </row>
    <row r="42" spans="2:9" ht="15.6" customHeight="1" x14ac:dyDescent="0.25">
      <c r="B42" s="54" t="s">
        <v>557</v>
      </c>
      <c r="C42" s="75" t="s">
        <v>515</v>
      </c>
      <c r="D42" s="129" t="s">
        <v>558</v>
      </c>
      <c r="E42" s="76" t="s">
        <v>553</v>
      </c>
      <c r="F42" s="130" t="s">
        <v>554</v>
      </c>
      <c r="G42" s="130" t="s">
        <v>519</v>
      </c>
      <c r="I42" s="89" t="s">
        <v>537</v>
      </c>
    </row>
    <row r="43" spans="2:9" ht="15.6" customHeight="1" x14ac:dyDescent="0.25">
      <c r="B43" s="62" t="s">
        <v>559</v>
      </c>
      <c r="C43" s="73" t="s">
        <v>515</v>
      </c>
      <c r="D43" s="131" t="s">
        <v>558</v>
      </c>
      <c r="E43" s="74" t="s">
        <v>526</v>
      </c>
      <c r="F43" s="132" t="s">
        <v>527</v>
      </c>
      <c r="G43" s="132" t="s">
        <v>519</v>
      </c>
      <c r="I43" s="97" t="s">
        <v>560</v>
      </c>
    </row>
    <row r="44" spans="2:9" ht="15.6" customHeight="1" x14ac:dyDescent="0.25">
      <c r="B44" s="54" t="s">
        <v>561</v>
      </c>
      <c r="C44" s="75" t="s">
        <v>515</v>
      </c>
      <c r="D44" s="129" t="s">
        <v>558</v>
      </c>
      <c r="E44" s="76" t="s">
        <v>562</v>
      </c>
      <c r="F44" s="130"/>
      <c r="G44" s="130"/>
      <c r="I44" s="89" t="s">
        <v>539</v>
      </c>
    </row>
    <row r="45" spans="2:9" ht="15.6" customHeight="1" x14ac:dyDescent="0.25">
      <c r="B45" s="62" t="s">
        <v>563</v>
      </c>
      <c r="C45" s="73" t="s">
        <v>515</v>
      </c>
      <c r="D45" s="131" t="s">
        <v>558</v>
      </c>
      <c r="E45" s="74" t="s">
        <v>553</v>
      </c>
      <c r="F45" s="132" t="s">
        <v>554</v>
      </c>
      <c r="G45" s="132" t="s">
        <v>519</v>
      </c>
      <c r="I45" s="89" t="s">
        <v>543</v>
      </c>
    </row>
    <row r="46" spans="2:9" ht="15.6" customHeight="1" x14ac:dyDescent="0.25">
      <c r="B46" s="54" t="s">
        <v>564</v>
      </c>
      <c r="C46" s="75" t="s">
        <v>515</v>
      </c>
      <c r="D46" s="129" t="s">
        <v>558</v>
      </c>
      <c r="E46" s="76" t="s">
        <v>526</v>
      </c>
      <c r="F46" s="130" t="s">
        <v>527</v>
      </c>
      <c r="G46" s="130" t="s">
        <v>519</v>
      </c>
      <c r="I46" s="89" t="s">
        <v>546</v>
      </c>
    </row>
    <row r="47" spans="2:9" ht="15.6" customHeight="1" x14ac:dyDescent="0.25">
      <c r="B47" s="62" t="s">
        <v>565</v>
      </c>
      <c r="C47" s="73" t="s">
        <v>515</v>
      </c>
      <c r="D47" s="131" t="s">
        <v>558</v>
      </c>
      <c r="E47" s="74" t="s">
        <v>526</v>
      </c>
      <c r="F47" s="132" t="s">
        <v>527</v>
      </c>
      <c r="G47" s="132" t="s">
        <v>519</v>
      </c>
      <c r="I47" s="89" t="s">
        <v>548</v>
      </c>
    </row>
    <row r="48" spans="2:9" ht="15.6" customHeight="1" x14ac:dyDescent="0.25">
      <c r="B48" s="54" t="s">
        <v>566</v>
      </c>
      <c r="C48" s="75" t="s">
        <v>515</v>
      </c>
      <c r="D48" s="129" t="s">
        <v>558</v>
      </c>
      <c r="E48" s="76" t="s">
        <v>553</v>
      </c>
      <c r="F48" s="130" t="s">
        <v>554</v>
      </c>
      <c r="G48" s="130" t="s">
        <v>519</v>
      </c>
      <c r="I48" s="89" t="s">
        <v>549</v>
      </c>
    </row>
    <row r="49" spans="2:9" ht="15.6" customHeight="1" x14ac:dyDescent="0.25">
      <c r="B49" s="62" t="s">
        <v>567</v>
      </c>
      <c r="C49" s="73" t="s">
        <v>515</v>
      </c>
      <c r="D49" s="131" t="s">
        <v>568</v>
      </c>
      <c r="E49" s="74" t="s">
        <v>569</v>
      </c>
      <c r="F49" s="132"/>
      <c r="G49" s="132"/>
      <c r="I49" s="89" t="s">
        <v>552</v>
      </c>
    </row>
    <row r="50" spans="2:9" ht="15.6" customHeight="1" x14ac:dyDescent="0.25">
      <c r="B50" s="54" t="s">
        <v>570</v>
      </c>
      <c r="C50" s="75" t="s">
        <v>515</v>
      </c>
      <c r="D50" s="129" t="s">
        <v>568</v>
      </c>
      <c r="E50" s="76" t="s">
        <v>569</v>
      </c>
      <c r="F50" s="130"/>
      <c r="G50" s="130"/>
      <c r="I50" s="89" t="s">
        <v>555</v>
      </c>
    </row>
    <row r="51" spans="2:9" ht="15.6" customHeight="1" x14ac:dyDescent="0.25">
      <c r="B51" s="62" t="s">
        <v>571</v>
      </c>
      <c r="C51" s="73" t="s">
        <v>515</v>
      </c>
      <c r="D51" s="131" t="s">
        <v>568</v>
      </c>
      <c r="E51" s="74" t="s">
        <v>572</v>
      </c>
      <c r="F51" s="132" t="s">
        <v>573</v>
      </c>
      <c r="G51" s="132" t="s">
        <v>36</v>
      </c>
      <c r="I51" s="89" t="s">
        <v>556</v>
      </c>
    </row>
    <row r="52" spans="2:9" ht="15.6" customHeight="1" x14ac:dyDescent="0.25">
      <c r="B52" s="54" t="s">
        <v>574</v>
      </c>
      <c r="C52" s="75" t="s">
        <v>515</v>
      </c>
      <c r="D52" s="129" t="s">
        <v>568</v>
      </c>
      <c r="E52" s="76" t="s">
        <v>575</v>
      </c>
      <c r="F52" s="130" t="s">
        <v>576</v>
      </c>
      <c r="G52" s="130" t="s">
        <v>519</v>
      </c>
      <c r="I52" s="97" t="s">
        <v>577</v>
      </c>
    </row>
    <row r="53" spans="2:9" ht="15.6" customHeight="1" x14ac:dyDescent="0.25">
      <c r="B53" s="62" t="s">
        <v>578</v>
      </c>
      <c r="C53" s="73" t="s">
        <v>515</v>
      </c>
      <c r="D53" s="131" t="s">
        <v>568</v>
      </c>
      <c r="E53" s="74" t="s">
        <v>579</v>
      </c>
      <c r="F53" s="132"/>
      <c r="G53" s="132"/>
      <c r="I53" s="89" t="s">
        <v>557</v>
      </c>
    </row>
    <row r="54" spans="2:9" ht="15.6" customHeight="1" x14ac:dyDescent="0.25">
      <c r="B54" s="54" t="s">
        <v>580</v>
      </c>
      <c r="C54" s="75" t="s">
        <v>515</v>
      </c>
      <c r="D54" s="129" t="s">
        <v>568</v>
      </c>
      <c r="E54" s="76" t="s">
        <v>581</v>
      </c>
      <c r="F54" s="130"/>
      <c r="G54" s="130"/>
      <c r="I54" s="89" t="s">
        <v>559</v>
      </c>
    </row>
    <row r="55" spans="2:9" ht="15.6" customHeight="1" x14ac:dyDescent="0.25">
      <c r="B55" s="62" t="s">
        <v>582</v>
      </c>
      <c r="C55" s="73" t="s">
        <v>515</v>
      </c>
      <c r="D55" s="131" t="s">
        <v>568</v>
      </c>
      <c r="E55" s="74" t="s">
        <v>583</v>
      </c>
      <c r="F55" s="132"/>
      <c r="G55" s="132"/>
      <c r="I55" s="89" t="s">
        <v>561</v>
      </c>
    </row>
    <row r="56" spans="2:9" ht="15.6" customHeight="1" x14ac:dyDescent="0.25">
      <c r="B56" s="54" t="s">
        <v>584</v>
      </c>
      <c r="C56" s="75" t="s">
        <v>515</v>
      </c>
      <c r="D56" s="129" t="s">
        <v>568</v>
      </c>
      <c r="E56" s="76" t="s">
        <v>585</v>
      </c>
      <c r="F56" s="130"/>
      <c r="G56" s="130"/>
      <c r="I56" s="89" t="s">
        <v>563</v>
      </c>
    </row>
    <row r="57" spans="2:9" ht="15.6" customHeight="1" x14ac:dyDescent="0.25">
      <c r="B57" s="62" t="s">
        <v>586</v>
      </c>
      <c r="C57" s="73" t="s">
        <v>515</v>
      </c>
      <c r="D57" s="131" t="s">
        <v>568</v>
      </c>
      <c r="E57" s="74" t="s">
        <v>526</v>
      </c>
      <c r="F57" s="132" t="s">
        <v>527</v>
      </c>
      <c r="G57" s="132" t="s">
        <v>519</v>
      </c>
      <c r="I57" s="89" t="s">
        <v>564</v>
      </c>
    </row>
    <row r="58" spans="2:9" ht="15.6" customHeight="1" x14ac:dyDescent="0.25">
      <c r="B58" s="54" t="s">
        <v>587</v>
      </c>
      <c r="C58" s="75" t="s">
        <v>515</v>
      </c>
      <c r="D58" s="129" t="s">
        <v>588</v>
      </c>
      <c r="E58" s="76" t="s">
        <v>589</v>
      </c>
      <c r="F58" s="130" t="s">
        <v>42</v>
      </c>
      <c r="G58" s="130" t="s">
        <v>519</v>
      </c>
      <c r="I58" s="89" t="s">
        <v>565</v>
      </c>
    </row>
    <row r="59" spans="2:9" ht="15.6" customHeight="1" x14ac:dyDescent="0.25">
      <c r="B59" s="62" t="s">
        <v>590</v>
      </c>
      <c r="C59" s="73" t="s">
        <v>515</v>
      </c>
      <c r="D59" s="131" t="s">
        <v>588</v>
      </c>
      <c r="E59" s="74" t="s">
        <v>589</v>
      </c>
      <c r="F59" s="132" t="s">
        <v>42</v>
      </c>
      <c r="G59" s="132" t="s">
        <v>519</v>
      </c>
      <c r="I59" s="89" t="s">
        <v>566</v>
      </c>
    </row>
    <row r="60" spans="2:9" ht="15.6" customHeight="1" x14ac:dyDescent="0.25">
      <c r="B60" s="54" t="s">
        <v>591</v>
      </c>
      <c r="C60" s="75" t="s">
        <v>515</v>
      </c>
      <c r="D60" s="129" t="s">
        <v>588</v>
      </c>
      <c r="E60" s="76" t="s">
        <v>589</v>
      </c>
      <c r="F60" s="130" t="s">
        <v>42</v>
      </c>
      <c r="G60" s="130" t="s">
        <v>519</v>
      </c>
      <c r="I60" s="97" t="s">
        <v>592</v>
      </c>
    </row>
    <row r="61" spans="2:9" ht="15.6" customHeight="1" x14ac:dyDescent="0.25">
      <c r="B61" s="62" t="s">
        <v>593</v>
      </c>
      <c r="C61" s="73" t="s">
        <v>515</v>
      </c>
      <c r="D61" s="131" t="s">
        <v>588</v>
      </c>
      <c r="E61" s="74" t="s">
        <v>572</v>
      </c>
      <c r="F61" s="132" t="s">
        <v>573</v>
      </c>
      <c r="G61" s="132" t="s">
        <v>36</v>
      </c>
      <c r="I61" s="89" t="s">
        <v>567</v>
      </c>
    </row>
    <row r="62" spans="2:9" ht="15.6" customHeight="1" x14ac:dyDescent="0.25">
      <c r="B62" s="54" t="s">
        <v>594</v>
      </c>
      <c r="C62" s="75" t="s">
        <v>515</v>
      </c>
      <c r="D62" s="129" t="s">
        <v>588</v>
      </c>
      <c r="E62" s="76" t="s">
        <v>572</v>
      </c>
      <c r="F62" s="130" t="s">
        <v>573</v>
      </c>
      <c r="G62" s="130" t="s">
        <v>36</v>
      </c>
      <c r="I62" s="89" t="s">
        <v>570</v>
      </c>
    </row>
    <row r="63" spans="2:9" ht="15.6" customHeight="1" x14ac:dyDescent="0.25">
      <c r="B63" s="62" t="s">
        <v>595</v>
      </c>
      <c r="C63" s="73" t="s">
        <v>515</v>
      </c>
      <c r="D63" s="131" t="s">
        <v>588</v>
      </c>
      <c r="E63" s="74" t="s">
        <v>526</v>
      </c>
      <c r="F63" s="132" t="s">
        <v>527</v>
      </c>
      <c r="G63" s="132" t="s">
        <v>519</v>
      </c>
      <c r="I63" s="89" t="s">
        <v>571</v>
      </c>
    </row>
    <row r="64" spans="2:9" ht="15.6" customHeight="1" x14ac:dyDescent="0.25">
      <c r="B64" s="54" t="s">
        <v>596</v>
      </c>
      <c r="C64" s="75" t="s">
        <v>515</v>
      </c>
      <c r="D64" s="129" t="s">
        <v>588</v>
      </c>
      <c r="E64" s="76" t="s">
        <v>526</v>
      </c>
      <c r="F64" s="130" t="s">
        <v>527</v>
      </c>
      <c r="G64" s="130" t="s">
        <v>519</v>
      </c>
      <c r="I64" s="89" t="s">
        <v>574</v>
      </c>
    </row>
    <row r="65" spans="2:9" ht="15.6" customHeight="1" x14ac:dyDescent="0.25">
      <c r="B65" s="62" t="s">
        <v>597</v>
      </c>
      <c r="C65" s="73" t="s">
        <v>515</v>
      </c>
      <c r="D65" s="131" t="s">
        <v>588</v>
      </c>
      <c r="E65" s="74" t="s">
        <v>526</v>
      </c>
      <c r="F65" s="132" t="s">
        <v>527</v>
      </c>
      <c r="G65" s="132" t="s">
        <v>519</v>
      </c>
      <c r="I65" s="89" t="s">
        <v>578</v>
      </c>
    </row>
    <row r="66" spans="2:9" ht="15.6" customHeight="1" x14ac:dyDescent="0.25">
      <c r="B66" s="54" t="s">
        <v>598</v>
      </c>
      <c r="C66" s="75" t="s">
        <v>515</v>
      </c>
      <c r="D66" s="129" t="s">
        <v>588</v>
      </c>
      <c r="E66" s="76" t="s">
        <v>526</v>
      </c>
      <c r="F66" s="130" t="s">
        <v>527</v>
      </c>
      <c r="G66" s="130" t="s">
        <v>519</v>
      </c>
      <c r="I66" s="89" t="s">
        <v>580</v>
      </c>
    </row>
    <row r="67" spans="2:9" ht="15.6" customHeight="1" x14ac:dyDescent="0.25">
      <c r="B67" s="62" t="s">
        <v>599</v>
      </c>
      <c r="C67" s="73" t="s">
        <v>515</v>
      </c>
      <c r="D67" s="131" t="s">
        <v>588</v>
      </c>
      <c r="E67" s="74" t="s">
        <v>600</v>
      </c>
      <c r="F67" s="132"/>
      <c r="G67" s="132"/>
      <c r="I67" s="89" t="s">
        <v>582</v>
      </c>
    </row>
    <row r="68" spans="2:9" ht="15.6" customHeight="1" x14ac:dyDescent="0.25">
      <c r="B68" s="54" t="s">
        <v>601</v>
      </c>
      <c r="C68" s="75" t="s">
        <v>515</v>
      </c>
      <c r="D68" s="129" t="s">
        <v>588</v>
      </c>
      <c r="E68" s="76" t="s">
        <v>575</v>
      </c>
      <c r="F68" s="130" t="s">
        <v>576</v>
      </c>
      <c r="G68" s="130" t="s">
        <v>519</v>
      </c>
      <c r="I68" s="89" t="s">
        <v>584</v>
      </c>
    </row>
    <row r="69" spans="2:9" ht="15.6" customHeight="1" x14ac:dyDescent="0.25">
      <c r="B69" s="62" t="s">
        <v>602</v>
      </c>
      <c r="C69" s="73" t="s">
        <v>515</v>
      </c>
      <c r="D69" s="131" t="s">
        <v>588</v>
      </c>
      <c r="E69" s="74" t="s">
        <v>575</v>
      </c>
      <c r="F69" s="132" t="s">
        <v>576</v>
      </c>
      <c r="G69" s="132" t="s">
        <v>519</v>
      </c>
      <c r="I69" s="89" t="s">
        <v>586</v>
      </c>
    </row>
    <row r="70" spans="2:9" ht="15.6" customHeight="1" x14ac:dyDescent="0.25">
      <c r="B70" s="54" t="s">
        <v>603</v>
      </c>
      <c r="C70" s="75" t="s">
        <v>515</v>
      </c>
      <c r="D70" s="129" t="s">
        <v>604</v>
      </c>
      <c r="E70" s="76" t="s">
        <v>605</v>
      </c>
      <c r="F70" s="130" t="s">
        <v>23</v>
      </c>
      <c r="G70" s="130" t="s">
        <v>606</v>
      </c>
      <c r="I70" s="97" t="s">
        <v>607</v>
      </c>
    </row>
    <row r="71" spans="2:9" ht="15.6" customHeight="1" x14ac:dyDescent="0.25">
      <c r="B71" s="62" t="s">
        <v>608</v>
      </c>
      <c r="C71" s="73" t="s">
        <v>515</v>
      </c>
      <c r="D71" s="131" t="s">
        <v>604</v>
      </c>
      <c r="E71" s="74" t="s">
        <v>605</v>
      </c>
      <c r="F71" s="132" t="s">
        <v>23</v>
      </c>
      <c r="G71" s="132" t="s">
        <v>606</v>
      </c>
      <c r="I71" s="89" t="s">
        <v>587</v>
      </c>
    </row>
    <row r="72" spans="2:9" ht="15.6" customHeight="1" x14ac:dyDescent="0.25">
      <c r="B72" s="54" t="s">
        <v>609</v>
      </c>
      <c r="C72" s="75" t="s">
        <v>515</v>
      </c>
      <c r="D72" s="129" t="s">
        <v>604</v>
      </c>
      <c r="E72" s="76" t="s">
        <v>605</v>
      </c>
      <c r="F72" s="130" t="s">
        <v>23</v>
      </c>
      <c r="G72" s="130" t="s">
        <v>606</v>
      </c>
      <c r="I72" s="89" t="s">
        <v>590</v>
      </c>
    </row>
    <row r="73" spans="2:9" ht="15.6" customHeight="1" x14ac:dyDescent="0.25">
      <c r="B73" s="62" t="s">
        <v>610</v>
      </c>
      <c r="C73" s="73" t="s">
        <v>515</v>
      </c>
      <c r="D73" s="131" t="s">
        <v>604</v>
      </c>
      <c r="E73" s="74" t="s">
        <v>611</v>
      </c>
      <c r="F73" s="132"/>
      <c r="G73" s="132"/>
      <c r="I73" s="89" t="s">
        <v>591</v>
      </c>
    </row>
    <row r="74" spans="2:9" ht="15.6" customHeight="1" x14ac:dyDescent="0.25">
      <c r="B74" s="54" t="s">
        <v>612</v>
      </c>
      <c r="C74" s="75" t="s">
        <v>515</v>
      </c>
      <c r="D74" s="129" t="s">
        <v>613</v>
      </c>
      <c r="E74" s="76" t="s">
        <v>614</v>
      </c>
      <c r="F74" s="130"/>
      <c r="G74" s="130"/>
      <c r="I74" s="89" t="s">
        <v>593</v>
      </c>
    </row>
    <row r="75" spans="2:9" ht="15.6" customHeight="1" x14ac:dyDescent="0.25">
      <c r="B75" s="62" t="s">
        <v>615</v>
      </c>
      <c r="C75" s="73" t="s">
        <v>515</v>
      </c>
      <c r="D75" s="131" t="s">
        <v>613</v>
      </c>
      <c r="E75" s="74" t="s">
        <v>616</v>
      </c>
      <c r="F75" s="132"/>
      <c r="G75" s="132"/>
      <c r="I75" s="89" t="s">
        <v>594</v>
      </c>
    </row>
    <row r="76" spans="2:9" ht="15.6" customHeight="1" x14ac:dyDescent="0.25">
      <c r="B76" s="54" t="s">
        <v>617</v>
      </c>
      <c r="C76" s="75" t="s">
        <v>515</v>
      </c>
      <c r="D76" s="129" t="s">
        <v>613</v>
      </c>
      <c r="E76" s="76" t="s">
        <v>618</v>
      </c>
      <c r="F76" s="130" t="s">
        <v>619</v>
      </c>
      <c r="G76" s="130" t="s">
        <v>519</v>
      </c>
      <c r="I76" s="89" t="s">
        <v>595</v>
      </c>
    </row>
    <row r="77" spans="2:9" ht="15.6" customHeight="1" x14ac:dyDescent="0.25">
      <c r="B77" s="62" t="s">
        <v>620</v>
      </c>
      <c r="C77" s="73" t="s">
        <v>515</v>
      </c>
      <c r="D77" s="131" t="s">
        <v>613</v>
      </c>
      <c r="E77" s="74" t="s">
        <v>621</v>
      </c>
      <c r="F77" s="132"/>
      <c r="G77" s="132"/>
      <c r="I77" s="89" t="s">
        <v>596</v>
      </c>
    </row>
    <row r="78" spans="2:9" ht="15.6" customHeight="1" x14ac:dyDescent="0.25">
      <c r="B78" s="54" t="s">
        <v>622</v>
      </c>
      <c r="C78" s="75" t="s">
        <v>515</v>
      </c>
      <c r="D78" s="129" t="s">
        <v>623</v>
      </c>
      <c r="E78" s="76" t="s">
        <v>526</v>
      </c>
      <c r="F78" s="130" t="s">
        <v>527</v>
      </c>
      <c r="G78" s="130" t="s">
        <v>519</v>
      </c>
      <c r="I78" s="89" t="s">
        <v>597</v>
      </c>
    </row>
    <row r="79" spans="2:9" ht="15.6" customHeight="1" x14ac:dyDescent="0.25">
      <c r="B79" s="62" t="s">
        <v>624</v>
      </c>
      <c r="C79" s="73" t="s">
        <v>515</v>
      </c>
      <c r="D79" s="131" t="s">
        <v>623</v>
      </c>
      <c r="E79" s="74" t="s">
        <v>625</v>
      </c>
      <c r="F79" s="132" t="s">
        <v>626</v>
      </c>
      <c r="G79" s="132" t="s">
        <v>38</v>
      </c>
      <c r="I79" s="89" t="s">
        <v>598</v>
      </c>
    </row>
    <row r="80" spans="2:9" ht="15.6" customHeight="1" x14ac:dyDescent="0.25">
      <c r="B80" s="54" t="s">
        <v>627</v>
      </c>
      <c r="C80" s="75" t="s">
        <v>515</v>
      </c>
      <c r="D80" s="129" t="s">
        <v>623</v>
      </c>
      <c r="E80" s="76" t="s">
        <v>625</v>
      </c>
      <c r="F80" s="130" t="s">
        <v>626</v>
      </c>
      <c r="G80" s="130" t="s">
        <v>38</v>
      </c>
      <c r="I80" s="89" t="s">
        <v>599</v>
      </c>
    </row>
    <row r="81" spans="2:9" ht="15.6" customHeight="1" x14ac:dyDescent="0.25">
      <c r="B81" s="62" t="s">
        <v>628</v>
      </c>
      <c r="C81" s="73" t="s">
        <v>515</v>
      </c>
      <c r="D81" s="131" t="s">
        <v>623</v>
      </c>
      <c r="E81" s="74" t="s">
        <v>629</v>
      </c>
      <c r="F81" s="132"/>
      <c r="G81" s="132"/>
      <c r="I81" s="89" t="s">
        <v>601</v>
      </c>
    </row>
    <row r="82" spans="2:9" ht="15.6" customHeight="1" x14ac:dyDescent="0.25">
      <c r="B82" s="54" t="s">
        <v>630</v>
      </c>
      <c r="C82" s="75" t="s">
        <v>631</v>
      </c>
      <c r="D82" s="129" t="s">
        <v>632</v>
      </c>
      <c r="E82" s="76" t="s">
        <v>633</v>
      </c>
      <c r="F82" s="130"/>
      <c r="G82" s="130"/>
      <c r="I82" s="89" t="s">
        <v>602</v>
      </c>
    </row>
    <row r="83" spans="2:9" ht="15.6" customHeight="1" x14ac:dyDescent="0.25">
      <c r="B83" s="62" t="s">
        <v>634</v>
      </c>
      <c r="C83" s="73" t="s">
        <v>631</v>
      </c>
      <c r="D83" s="131" t="s">
        <v>632</v>
      </c>
      <c r="E83" s="74" t="s">
        <v>635</v>
      </c>
      <c r="F83" s="132"/>
      <c r="G83" s="132"/>
      <c r="I83" s="97" t="s">
        <v>636</v>
      </c>
    </row>
    <row r="84" spans="2:9" ht="15.6" customHeight="1" x14ac:dyDescent="0.25">
      <c r="B84" s="54" t="s">
        <v>637</v>
      </c>
      <c r="C84" s="75" t="s">
        <v>631</v>
      </c>
      <c r="D84" s="129" t="s">
        <v>632</v>
      </c>
      <c r="E84" s="76" t="s">
        <v>638</v>
      </c>
      <c r="F84" s="130"/>
      <c r="G84" s="130"/>
      <c r="I84" s="89" t="s">
        <v>603</v>
      </c>
    </row>
    <row r="85" spans="2:9" ht="15.6" customHeight="1" x14ac:dyDescent="0.25">
      <c r="B85" s="62" t="s">
        <v>639</v>
      </c>
      <c r="C85" s="73" t="s">
        <v>631</v>
      </c>
      <c r="D85" s="131" t="s">
        <v>632</v>
      </c>
      <c r="E85" s="74" t="s">
        <v>640</v>
      </c>
      <c r="F85" s="132"/>
      <c r="G85" s="132"/>
      <c r="I85" s="89" t="s">
        <v>608</v>
      </c>
    </row>
    <row r="86" spans="2:9" ht="15.6" customHeight="1" x14ac:dyDescent="0.25">
      <c r="B86" s="54" t="s">
        <v>641</v>
      </c>
      <c r="C86" s="75" t="s">
        <v>631</v>
      </c>
      <c r="D86" s="129" t="s">
        <v>632</v>
      </c>
      <c r="E86" s="76"/>
      <c r="F86" s="130"/>
      <c r="G86" s="130"/>
      <c r="I86" s="89" t="s">
        <v>609</v>
      </c>
    </row>
    <row r="87" spans="2:9" ht="15.6" customHeight="1" x14ac:dyDescent="0.25">
      <c r="B87" s="62" t="s">
        <v>642</v>
      </c>
      <c r="C87" s="73" t="s">
        <v>643</v>
      </c>
      <c r="D87" s="131" t="s">
        <v>644</v>
      </c>
      <c r="E87" s="74" t="s">
        <v>645</v>
      </c>
      <c r="F87" s="132"/>
      <c r="G87" s="132"/>
      <c r="I87" s="89" t="s">
        <v>610</v>
      </c>
    </row>
    <row r="88" spans="2:9" ht="15.6" customHeight="1" x14ac:dyDescent="0.25">
      <c r="B88" s="54" t="s">
        <v>646</v>
      </c>
      <c r="C88" s="75" t="s">
        <v>643</v>
      </c>
      <c r="D88" s="129" t="s">
        <v>644</v>
      </c>
      <c r="E88" s="76" t="s">
        <v>647</v>
      </c>
      <c r="F88" s="130"/>
      <c r="G88" s="130"/>
      <c r="I88" s="97" t="s">
        <v>648</v>
      </c>
    </row>
    <row r="89" spans="2:9" ht="15.6" customHeight="1" x14ac:dyDescent="0.25">
      <c r="B89" s="62" t="s">
        <v>649</v>
      </c>
      <c r="C89" s="73" t="s">
        <v>650</v>
      </c>
      <c r="D89" s="131" t="s">
        <v>651</v>
      </c>
      <c r="E89" s="74" t="s">
        <v>652</v>
      </c>
      <c r="F89" s="132"/>
      <c r="G89" s="132"/>
      <c r="I89" s="89" t="s">
        <v>612</v>
      </c>
    </row>
    <row r="90" spans="2:9" ht="15.6" customHeight="1" x14ac:dyDescent="0.25">
      <c r="B90" s="54" t="s">
        <v>653</v>
      </c>
      <c r="C90" s="75" t="s">
        <v>650</v>
      </c>
      <c r="D90" s="129" t="s">
        <v>651</v>
      </c>
      <c r="E90" s="76" t="s">
        <v>654</v>
      </c>
      <c r="F90" s="130"/>
      <c r="G90" s="130"/>
      <c r="I90" s="89" t="s">
        <v>615</v>
      </c>
    </row>
    <row r="91" spans="2:9" ht="15.6" customHeight="1" x14ac:dyDescent="0.25">
      <c r="B91" s="62" t="s">
        <v>655</v>
      </c>
      <c r="C91" s="73" t="s">
        <v>656</v>
      </c>
      <c r="D91" s="131" t="s">
        <v>651</v>
      </c>
      <c r="E91" s="74" t="s">
        <v>657</v>
      </c>
      <c r="F91" s="132"/>
      <c r="G91" s="132"/>
      <c r="I91" s="89" t="s">
        <v>617</v>
      </c>
    </row>
    <row r="92" spans="2:9" ht="15.6" customHeight="1" x14ac:dyDescent="0.25">
      <c r="B92" s="54" t="s">
        <v>658</v>
      </c>
      <c r="C92" s="75" t="s">
        <v>656</v>
      </c>
      <c r="D92" s="129" t="s">
        <v>651</v>
      </c>
      <c r="E92" s="76" t="s">
        <v>659</v>
      </c>
      <c r="F92" s="130"/>
      <c r="G92" s="130"/>
      <c r="I92" s="89" t="s">
        <v>620</v>
      </c>
    </row>
    <row r="93" spans="2:9" ht="15.6" customHeight="1" x14ac:dyDescent="0.25">
      <c r="B93" s="62" t="s">
        <v>660</v>
      </c>
      <c r="C93" s="73" t="s">
        <v>650</v>
      </c>
      <c r="D93" s="131" t="s">
        <v>651</v>
      </c>
      <c r="E93" s="74" t="s">
        <v>661</v>
      </c>
      <c r="F93" s="132"/>
      <c r="G93" s="132"/>
      <c r="I93" s="97" t="s">
        <v>662</v>
      </c>
    </row>
    <row r="94" spans="2:9" ht="15.6" customHeight="1" x14ac:dyDescent="0.25">
      <c r="B94" s="54" t="s">
        <v>481</v>
      </c>
      <c r="C94" s="133" t="s">
        <v>663</v>
      </c>
      <c r="D94" s="129" t="s">
        <v>664</v>
      </c>
      <c r="E94" s="76" t="s">
        <v>665</v>
      </c>
      <c r="F94" s="130"/>
      <c r="G94" s="130"/>
      <c r="I94" s="89" t="s">
        <v>622</v>
      </c>
    </row>
    <row r="95" spans="2:9" ht="15.6" customHeight="1" x14ac:dyDescent="0.25">
      <c r="B95" s="62" t="s">
        <v>484</v>
      </c>
      <c r="C95" s="134" t="s">
        <v>663</v>
      </c>
      <c r="D95" s="131" t="s">
        <v>664</v>
      </c>
      <c r="E95" s="74" t="s">
        <v>666</v>
      </c>
      <c r="F95" s="132"/>
      <c r="G95" s="132"/>
      <c r="I95" s="89" t="s">
        <v>624</v>
      </c>
    </row>
    <row r="96" spans="2:9" ht="15.6" customHeight="1" x14ac:dyDescent="0.25">
      <c r="B96" s="54" t="s">
        <v>487</v>
      </c>
      <c r="C96" s="133" t="s">
        <v>663</v>
      </c>
      <c r="D96" s="129" t="s">
        <v>664</v>
      </c>
      <c r="E96" s="76" t="s">
        <v>667</v>
      </c>
      <c r="F96" s="130"/>
      <c r="G96" s="130"/>
      <c r="I96" s="89" t="s">
        <v>627</v>
      </c>
    </row>
    <row r="97" spans="2:9" ht="15.6" customHeight="1" x14ac:dyDescent="0.25">
      <c r="B97" s="62" t="s">
        <v>490</v>
      </c>
      <c r="C97" s="134" t="s">
        <v>668</v>
      </c>
      <c r="D97" s="131" t="s">
        <v>664</v>
      </c>
      <c r="E97" s="74" t="s">
        <v>669</v>
      </c>
      <c r="F97" s="132"/>
      <c r="G97" s="132"/>
      <c r="I97" s="89" t="s">
        <v>628</v>
      </c>
    </row>
    <row r="98" spans="2:9" ht="15.6" customHeight="1" x14ac:dyDescent="0.25">
      <c r="B98" s="54" t="s">
        <v>493</v>
      </c>
      <c r="C98" s="133" t="s">
        <v>668</v>
      </c>
      <c r="D98" s="129" t="s">
        <v>664</v>
      </c>
      <c r="E98" s="76" t="s">
        <v>670</v>
      </c>
      <c r="F98" s="130"/>
      <c r="G98" s="130"/>
      <c r="I98" s="97" t="s">
        <v>671</v>
      </c>
    </row>
    <row r="99" spans="2:9" x14ac:dyDescent="0.25">
      <c r="I99" s="89" t="s">
        <v>630</v>
      </c>
    </row>
    <row r="100" spans="2:9" x14ac:dyDescent="0.25">
      <c r="I100" s="89" t="s">
        <v>634</v>
      </c>
    </row>
    <row r="101" spans="2:9" x14ac:dyDescent="0.25">
      <c r="I101" s="89" t="s">
        <v>637</v>
      </c>
    </row>
    <row r="102" spans="2:9" x14ac:dyDescent="0.25">
      <c r="I102" s="89" t="s">
        <v>639</v>
      </c>
    </row>
    <row r="103" spans="2:9" x14ac:dyDescent="0.25">
      <c r="I103" s="89" t="s">
        <v>641</v>
      </c>
    </row>
    <row r="104" spans="2:9" x14ac:dyDescent="0.25">
      <c r="I104" s="97" t="s">
        <v>672</v>
      </c>
    </row>
    <row r="105" spans="2:9" x14ac:dyDescent="0.25">
      <c r="I105" s="89" t="s">
        <v>642</v>
      </c>
    </row>
    <row r="106" spans="2:9" x14ac:dyDescent="0.25">
      <c r="I106" s="89" t="s">
        <v>646</v>
      </c>
    </row>
    <row r="107" spans="2:9" x14ac:dyDescent="0.25">
      <c r="I107" s="97" t="s">
        <v>673</v>
      </c>
    </row>
    <row r="108" spans="2:9" x14ac:dyDescent="0.25">
      <c r="I108" s="89" t="s">
        <v>649</v>
      </c>
    </row>
    <row r="109" spans="2:9" x14ac:dyDescent="0.25">
      <c r="I109" s="89" t="s">
        <v>653</v>
      </c>
    </row>
    <row r="110" spans="2:9" x14ac:dyDescent="0.25">
      <c r="I110" s="89" t="s">
        <v>655</v>
      </c>
    </row>
    <row r="111" spans="2:9" x14ac:dyDescent="0.25">
      <c r="I111" s="89" t="s">
        <v>658</v>
      </c>
    </row>
    <row r="112" spans="2:9" x14ac:dyDescent="0.25">
      <c r="I112" s="89" t="s">
        <v>660</v>
      </c>
    </row>
    <row r="113" spans="1:9" ht="8.1" customHeight="1" x14ac:dyDescent="0.25"/>
    <row r="114" spans="1:9" ht="15.6" customHeight="1" x14ac:dyDescent="0.25">
      <c r="A114" s="187" t="s">
        <v>69</v>
      </c>
      <c r="B114" s="173"/>
      <c r="C114" s="173"/>
      <c r="D114" s="173"/>
      <c r="E114" s="173"/>
      <c r="F114" s="173"/>
      <c r="G114" s="173"/>
      <c r="H114" s="173"/>
      <c r="I114" s="173"/>
    </row>
  </sheetData>
  <sheetProtection sheet="1" formatCells="0" formatColumns="0" formatRows="0" insertRows="0" deleteRows="0"/>
  <autoFilter ref="B7:G98" xr:uid="{00000000-0009-0000-0000-00000E000000}"/>
  <mergeCells count="5">
    <mergeCell ref="A2:I2"/>
    <mergeCell ref="A5:I5"/>
    <mergeCell ref="A1:I1"/>
    <mergeCell ref="A3:I3"/>
    <mergeCell ref="A114:I114"/>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A6A6A6"/>
  </sheetPr>
  <dimension ref="A1:H485"/>
  <sheetViews>
    <sheetView showGridLines="0" workbookViewId="0">
      <pane ySplit="7" topLeftCell="A8" activePane="bottomLeft" state="frozen"/>
      <selection pane="bottomLeft"/>
    </sheetView>
  </sheetViews>
  <sheetFormatPr defaultRowHeight="15" x14ac:dyDescent="0.25"/>
  <cols>
    <col min="1" max="1" width="3" customWidth="1"/>
    <col min="2" max="2" width="10" customWidth="1"/>
    <col min="3" max="3" width="30" customWidth="1"/>
    <col min="4" max="4" width="44" customWidth="1"/>
    <col min="5" max="6" width="13" customWidth="1"/>
    <col min="7" max="7" width="12" customWidth="1"/>
    <col min="8" max="8" width="52" customWidth="1"/>
  </cols>
  <sheetData>
    <row r="1" spans="1:8" ht="27.95" customHeight="1" x14ac:dyDescent="0.25">
      <c r="A1" s="174" t="s">
        <v>674</v>
      </c>
      <c r="B1" s="173"/>
      <c r="C1" s="173"/>
      <c r="D1" s="173"/>
      <c r="E1" s="173"/>
      <c r="F1" s="173"/>
      <c r="G1" s="173"/>
      <c r="H1" s="173"/>
    </row>
    <row r="2" spans="1:8" ht="17.100000000000001" customHeight="1" x14ac:dyDescent="0.25">
      <c r="A2" s="188" t="s">
        <v>675</v>
      </c>
      <c r="B2" s="173"/>
      <c r="C2" s="173"/>
      <c r="D2" s="173"/>
      <c r="E2" s="173"/>
      <c r="F2" s="173"/>
      <c r="G2" s="173"/>
      <c r="H2" s="173"/>
    </row>
    <row r="3" spans="1:8" ht="14.1" customHeight="1" x14ac:dyDescent="0.25">
      <c r="A3" s="179" t="s">
        <v>2</v>
      </c>
      <c r="B3" s="173"/>
      <c r="C3" s="173"/>
      <c r="D3" s="173"/>
      <c r="E3" s="173"/>
      <c r="F3" s="173"/>
      <c r="G3" s="173"/>
      <c r="H3" s="173"/>
    </row>
    <row r="4" spans="1:8" ht="8.1" customHeight="1" x14ac:dyDescent="0.25"/>
    <row r="5" spans="1:8" ht="30.6" customHeight="1" x14ac:dyDescent="0.25">
      <c r="A5" s="192" t="s">
        <v>676</v>
      </c>
      <c r="B5" s="173"/>
      <c r="C5" s="173"/>
      <c r="D5" s="173"/>
      <c r="E5" s="173"/>
      <c r="F5" s="173"/>
      <c r="G5" s="173"/>
      <c r="H5" s="173"/>
    </row>
    <row r="6" spans="1:8" ht="8.1" customHeight="1" x14ac:dyDescent="0.25"/>
    <row r="7" spans="1:8" ht="26.1" customHeight="1" x14ac:dyDescent="0.25">
      <c r="A7" s="27"/>
      <c r="B7" s="27" t="s">
        <v>677</v>
      </c>
      <c r="C7" s="27" t="s">
        <v>678</v>
      </c>
      <c r="D7" s="27" t="s">
        <v>679</v>
      </c>
      <c r="E7" s="27" t="s">
        <v>680</v>
      </c>
      <c r="F7" s="27" t="s">
        <v>681</v>
      </c>
      <c r="G7" s="27" t="s">
        <v>682</v>
      </c>
      <c r="H7" s="27" t="s">
        <v>683</v>
      </c>
    </row>
    <row r="8" spans="1:8" x14ac:dyDescent="0.25">
      <c r="B8" s="75">
        <v>200</v>
      </c>
      <c r="C8" s="54" t="s">
        <v>684</v>
      </c>
      <c r="D8" s="129" t="s">
        <v>475</v>
      </c>
      <c r="E8" s="75" t="s">
        <v>685</v>
      </c>
      <c r="F8" s="64" t="s">
        <v>686</v>
      </c>
      <c r="G8" s="75" t="s">
        <v>265</v>
      </c>
      <c r="H8" s="135" t="s">
        <v>687</v>
      </c>
    </row>
    <row r="9" spans="1:8" x14ac:dyDescent="0.25">
      <c r="B9" s="73">
        <v>200</v>
      </c>
      <c r="C9" s="62" t="s">
        <v>688</v>
      </c>
      <c r="D9" s="131" t="s">
        <v>475</v>
      </c>
      <c r="E9" s="73" t="s">
        <v>685</v>
      </c>
      <c r="F9" s="67" t="s">
        <v>686</v>
      </c>
      <c r="G9" s="73" t="s">
        <v>265</v>
      </c>
      <c r="H9" s="136" t="s">
        <v>687</v>
      </c>
    </row>
    <row r="10" spans="1:8" x14ac:dyDescent="0.25">
      <c r="B10" s="75">
        <v>200</v>
      </c>
      <c r="C10" s="54" t="s">
        <v>689</v>
      </c>
      <c r="D10" s="129" t="s">
        <v>475</v>
      </c>
      <c r="E10" s="75" t="s">
        <v>685</v>
      </c>
      <c r="F10" s="64" t="s">
        <v>686</v>
      </c>
      <c r="G10" s="75" t="s">
        <v>265</v>
      </c>
      <c r="H10" s="135" t="s">
        <v>687</v>
      </c>
    </row>
    <row r="11" spans="1:8" x14ac:dyDescent="0.25">
      <c r="B11" s="73">
        <v>200</v>
      </c>
      <c r="C11" s="62" t="s">
        <v>690</v>
      </c>
      <c r="D11" s="131" t="s">
        <v>475</v>
      </c>
      <c r="E11" s="73" t="s">
        <v>685</v>
      </c>
      <c r="F11" s="67" t="s">
        <v>686</v>
      </c>
      <c r="G11" s="73" t="s">
        <v>265</v>
      </c>
      <c r="H11" s="136" t="s">
        <v>687</v>
      </c>
    </row>
    <row r="12" spans="1:8" x14ac:dyDescent="0.25">
      <c r="B12" s="75">
        <v>200</v>
      </c>
      <c r="C12" s="54" t="s">
        <v>691</v>
      </c>
      <c r="D12" s="129" t="s">
        <v>475</v>
      </c>
      <c r="E12" s="75" t="s">
        <v>685</v>
      </c>
      <c r="F12" s="64" t="s">
        <v>686</v>
      </c>
      <c r="G12" s="75" t="s">
        <v>265</v>
      </c>
      <c r="H12" s="135" t="s">
        <v>687</v>
      </c>
    </row>
    <row r="13" spans="1:8" x14ac:dyDescent="0.25">
      <c r="B13" s="73">
        <v>200</v>
      </c>
      <c r="C13" s="62" t="s">
        <v>692</v>
      </c>
      <c r="D13" s="131" t="s">
        <v>475</v>
      </c>
      <c r="E13" s="73" t="s">
        <v>685</v>
      </c>
      <c r="F13" s="67" t="s">
        <v>686</v>
      </c>
      <c r="G13" s="73" t="s">
        <v>265</v>
      </c>
      <c r="H13" s="136" t="s">
        <v>687</v>
      </c>
    </row>
    <row r="14" spans="1:8" x14ac:dyDescent="0.25">
      <c r="B14" s="75">
        <v>200</v>
      </c>
      <c r="C14" s="54" t="s">
        <v>693</v>
      </c>
      <c r="D14" s="129" t="s">
        <v>475</v>
      </c>
      <c r="E14" s="75" t="s">
        <v>685</v>
      </c>
      <c r="F14" s="64" t="s">
        <v>686</v>
      </c>
      <c r="G14" s="75" t="s">
        <v>265</v>
      </c>
      <c r="H14" s="135" t="s">
        <v>694</v>
      </c>
    </row>
    <row r="15" spans="1:8" x14ac:dyDescent="0.25">
      <c r="B15" s="73">
        <v>200</v>
      </c>
      <c r="C15" s="62" t="s">
        <v>695</v>
      </c>
      <c r="D15" s="131" t="s">
        <v>475</v>
      </c>
      <c r="E15" s="73" t="s">
        <v>685</v>
      </c>
      <c r="F15" s="67" t="s">
        <v>686</v>
      </c>
      <c r="G15" s="73" t="s">
        <v>265</v>
      </c>
      <c r="H15" s="136" t="s">
        <v>696</v>
      </c>
    </row>
    <row r="16" spans="1:8" x14ac:dyDescent="0.25">
      <c r="B16" s="75">
        <v>200</v>
      </c>
      <c r="C16" s="54" t="s">
        <v>697</v>
      </c>
      <c r="D16" s="129" t="s">
        <v>475</v>
      </c>
      <c r="E16" s="75" t="s">
        <v>685</v>
      </c>
      <c r="F16" s="64" t="s">
        <v>686</v>
      </c>
      <c r="G16" s="75" t="s">
        <v>265</v>
      </c>
      <c r="H16" s="135" t="s">
        <v>698</v>
      </c>
    </row>
    <row r="17" spans="2:8" x14ac:dyDescent="0.25">
      <c r="B17" s="73">
        <v>200</v>
      </c>
      <c r="C17" s="62" t="s">
        <v>699</v>
      </c>
      <c r="D17" s="131" t="s">
        <v>475</v>
      </c>
      <c r="E17" s="73" t="s">
        <v>685</v>
      </c>
      <c r="F17" s="67" t="s">
        <v>686</v>
      </c>
      <c r="G17" s="73" t="s">
        <v>265</v>
      </c>
      <c r="H17" s="136" t="s">
        <v>694</v>
      </c>
    </row>
    <row r="18" spans="2:8" x14ac:dyDescent="0.25">
      <c r="B18" s="75">
        <v>200</v>
      </c>
      <c r="C18" s="54" t="s">
        <v>700</v>
      </c>
      <c r="D18" s="129" t="s">
        <v>475</v>
      </c>
      <c r="E18" s="75" t="s">
        <v>685</v>
      </c>
      <c r="F18" s="64" t="s">
        <v>686</v>
      </c>
      <c r="G18" s="75" t="s">
        <v>265</v>
      </c>
      <c r="H18" s="135" t="s">
        <v>694</v>
      </c>
    </row>
    <row r="19" spans="2:8" x14ac:dyDescent="0.25">
      <c r="B19" s="73">
        <v>200</v>
      </c>
      <c r="C19" s="62" t="s">
        <v>701</v>
      </c>
      <c r="D19" s="131" t="s">
        <v>475</v>
      </c>
      <c r="E19" s="73" t="s">
        <v>685</v>
      </c>
      <c r="F19" s="67" t="s">
        <v>686</v>
      </c>
      <c r="G19" s="73" t="s">
        <v>265</v>
      </c>
      <c r="H19" s="136" t="s">
        <v>696</v>
      </c>
    </row>
    <row r="20" spans="2:8" x14ac:dyDescent="0.25">
      <c r="B20" s="75">
        <v>200</v>
      </c>
      <c r="C20" s="54" t="s">
        <v>702</v>
      </c>
      <c r="D20" s="129" t="s">
        <v>475</v>
      </c>
      <c r="E20" s="75" t="s">
        <v>685</v>
      </c>
      <c r="F20" s="64" t="s">
        <v>686</v>
      </c>
      <c r="G20" s="75" t="s">
        <v>265</v>
      </c>
      <c r="H20" s="135" t="s">
        <v>694</v>
      </c>
    </row>
    <row r="21" spans="2:8" x14ac:dyDescent="0.25">
      <c r="B21" s="73">
        <v>200</v>
      </c>
      <c r="C21" s="62" t="s">
        <v>703</v>
      </c>
      <c r="D21" s="131" t="s">
        <v>475</v>
      </c>
      <c r="E21" s="73" t="s">
        <v>685</v>
      </c>
      <c r="F21" s="67" t="s">
        <v>686</v>
      </c>
      <c r="G21" s="73" t="s">
        <v>265</v>
      </c>
      <c r="H21" s="136" t="s">
        <v>694</v>
      </c>
    </row>
    <row r="22" spans="2:8" x14ac:dyDescent="0.25">
      <c r="B22" s="75">
        <v>200</v>
      </c>
      <c r="C22" s="54" t="s">
        <v>704</v>
      </c>
      <c r="D22" s="129" t="s">
        <v>475</v>
      </c>
      <c r="E22" s="75" t="s">
        <v>685</v>
      </c>
      <c r="F22" s="64" t="s">
        <v>686</v>
      </c>
      <c r="G22" s="75" t="s">
        <v>265</v>
      </c>
      <c r="H22" s="135" t="s">
        <v>705</v>
      </c>
    </row>
    <row r="23" spans="2:8" x14ac:dyDescent="0.25">
      <c r="B23" s="73">
        <v>200</v>
      </c>
      <c r="C23" s="62" t="s">
        <v>693</v>
      </c>
      <c r="D23" s="131" t="s">
        <v>578</v>
      </c>
      <c r="E23" s="73" t="s">
        <v>706</v>
      </c>
      <c r="F23" s="67" t="s">
        <v>686</v>
      </c>
      <c r="G23" s="73" t="s">
        <v>265</v>
      </c>
      <c r="H23" s="136" t="s">
        <v>707</v>
      </c>
    </row>
    <row r="24" spans="2:8" x14ac:dyDescent="0.25">
      <c r="B24" s="75">
        <v>200</v>
      </c>
      <c r="C24" s="54" t="s">
        <v>697</v>
      </c>
      <c r="D24" s="129" t="s">
        <v>578</v>
      </c>
      <c r="E24" s="75" t="s">
        <v>706</v>
      </c>
      <c r="F24" s="64" t="s">
        <v>686</v>
      </c>
      <c r="G24" s="75" t="s">
        <v>265</v>
      </c>
      <c r="H24" s="135" t="s">
        <v>707</v>
      </c>
    </row>
    <row r="25" spans="2:8" x14ac:dyDescent="0.25">
      <c r="B25" s="73">
        <v>200</v>
      </c>
      <c r="C25" s="62" t="s">
        <v>699</v>
      </c>
      <c r="D25" s="131" t="s">
        <v>578</v>
      </c>
      <c r="E25" s="73" t="s">
        <v>706</v>
      </c>
      <c r="F25" s="67" t="s">
        <v>686</v>
      </c>
      <c r="G25" s="73" t="s">
        <v>265</v>
      </c>
      <c r="H25" s="136" t="s">
        <v>707</v>
      </c>
    </row>
    <row r="26" spans="2:8" x14ac:dyDescent="0.25">
      <c r="B26" s="75">
        <v>200</v>
      </c>
      <c r="C26" s="54" t="s">
        <v>708</v>
      </c>
      <c r="D26" s="129" t="s">
        <v>475</v>
      </c>
      <c r="E26" s="75" t="s">
        <v>685</v>
      </c>
      <c r="F26" s="64" t="s">
        <v>686</v>
      </c>
      <c r="G26" s="75" t="s">
        <v>265</v>
      </c>
      <c r="H26" s="135" t="s">
        <v>709</v>
      </c>
    </row>
    <row r="27" spans="2:8" x14ac:dyDescent="0.25">
      <c r="B27" s="73">
        <v>200</v>
      </c>
      <c r="C27" s="62" t="s">
        <v>710</v>
      </c>
      <c r="D27" s="131" t="s">
        <v>475</v>
      </c>
      <c r="E27" s="73" t="s">
        <v>685</v>
      </c>
      <c r="F27" s="67" t="s">
        <v>686</v>
      </c>
      <c r="G27" s="73" t="s">
        <v>265</v>
      </c>
      <c r="H27" s="136" t="s">
        <v>709</v>
      </c>
    </row>
    <row r="28" spans="2:8" x14ac:dyDescent="0.25">
      <c r="B28" s="75">
        <v>200</v>
      </c>
      <c r="C28" s="54" t="s">
        <v>711</v>
      </c>
      <c r="D28" s="129" t="s">
        <v>485</v>
      </c>
      <c r="E28" s="75" t="s">
        <v>685</v>
      </c>
      <c r="F28" s="64" t="s">
        <v>686</v>
      </c>
      <c r="G28" s="75" t="s">
        <v>265</v>
      </c>
      <c r="H28" s="135" t="s">
        <v>712</v>
      </c>
    </row>
    <row r="29" spans="2:8" x14ac:dyDescent="0.25">
      <c r="B29" s="73">
        <v>200</v>
      </c>
      <c r="C29" s="62" t="s">
        <v>713</v>
      </c>
      <c r="D29" s="131" t="s">
        <v>485</v>
      </c>
      <c r="E29" s="73" t="s">
        <v>685</v>
      </c>
      <c r="F29" s="67" t="s">
        <v>686</v>
      </c>
      <c r="G29" s="73" t="s">
        <v>265</v>
      </c>
      <c r="H29" s="136" t="s">
        <v>714</v>
      </c>
    </row>
    <row r="30" spans="2:8" x14ac:dyDescent="0.25">
      <c r="B30" s="75">
        <v>200</v>
      </c>
      <c r="C30" s="54" t="s">
        <v>715</v>
      </c>
      <c r="D30" s="129" t="s">
        <v>485</v>
      </c>
      <c r="E30" s="75" t="s">
        <v>685</v>
      </c>
      <c r="F30" s="64" t="s">
        <v>686</v>
      </c>
      <c r="G30" s="75" t="s">
        <v>265</v>
      </c>
      <c r="H30" s="135" t="s">
        <v>716</v>
      </c>
    </row>
    <row r="31" spans="2:8" x14ac:dyDescent="0.25">
      <c r="B31" s="73">
        <v>200</v>
      </c>
      <c r="C31" s="62" t="s">
        <v>717</v>
      </c>
      <c r="D31" s="131" t="s">
        <v>485</v>
      </c>
      <c r="E31" s="73" t="s">
        <v>685</v>
      </c>
      <c r="F31" s="67" t="s">
        <v>686</v>
      </c>
      <c r="G31" s="73" t="s">
        <v>265</v>
      </c>
      <c r="H31" s="136" t="s">
        <v>718</v>
      </c>
    </row>
    <row r="32" spans="2:8" x14ac:dyDescent="0.25">
      <c r="B32" s="75">
        <v>200</v>
      </c>
      <c r="C32" s="54" t="s">
        <v>684</v>
      </c>
      <c r="D32" s="129" t="s">
        <v>578</v>
      </c>
      <c r="E32" s="75" t="s">
        <v>706</v>
      </c>
      <c r="F32" s="64" t="s">
        <v>686</v>
      </c>
      <c r="G32" s="75" t="s">
        <v>265</v>
      </c>
      <c r="H32" s="135" t="s">
        <v>719</v>
      </c>
    </row>
    <row r="33" spans="2:8" x14ac:dyDescent="0.25">
      <c r="B33" s="73">
        <v>200</v>
      </c>
      <c r="C33" s="62" t="s">
        <v>688</v>
      </c>
      <c r="D33" s="131" t="s">
        <v>578</v>
      </c>
      <c r="E33" s="73" t="s">
        <v>706</v>
      </c>
      <c r="F33" s="67" t="s">
        <v>686</v>
      </c>
      <c r="G33" s="73" t="s">
        <v>265</v>
      </c>
      <c r="H33" s="136" t="s">
        <v>707</v>
      </c>
    </row>
    <row r="34" spans="2:8" x14ac:dyDescent="0.25">
      <c r="B34" s="75">
        <v>200</v>
      </c>
      <c r="C34" s="54" t="s">
        <v>689</v>
      </c>
      <c r="D34" s="129" t="s">
        <v>578</v>
      </c>
      <c r="E34" s="75" t="s">
        <v>706</v>
      </c>
      <c r="F34" s="64" t="s">
        <v>686</v>
      </c>
      <c r="G34" s="75" t="s">
        <v>265</v>
      </c>
      <c r="H34" s="135" t="s">
        <v>707</v>
      </c>
    </row>
    <row r="35" spans="2:8" x14ac:dyDescent="0.25">
      <c r="B35" s="73">
        <v>200</v>
      </c>
      <c r="C35" s="62" t="s">
        <v>690</v>
      </c>
      <c r="D35" s="131" t="s">
        <v>578</v>
      </c>
      <c r="E35" s="73" t="s">
        <v>706</v>
      </c>
      <c r="F35" s="67" t="s">
        <v>686</v>
      </c>
      <c r="G35" s="73" t="s">
        <v>265</v>
      </c>
      <c r="H35" s="136" t="s">
        <v>707</v>
      </c>
    </row>
    <row r="36" spans="2:8" x14ac:dyDescent="0.25">
      <c r="B36" s="75">
        <v>200</v>
      </c>
      <c r="C36" s="54" t="s">
        <v>692</v>
      </c>
      <c r="D36" s="129" t="s">
        <v>578</v>
      </c>
      <c r="E36" s="75" t="s">
        <v>706</v>
      </c>
      <c r="F36" s="64" t="s">
        <v>686</v>
      </c>
      <c r="G36" s="75" t="s">
        <v>265</v>
      </c>
      <c r="H36" s="135" t="s">
        <v>707</v>
      </c>
    </row>
    <row r="37" spans="2:8" x14ac:dyDescent="0.25">
      <c r="B37" s="73">
        <v>200</v>
      </c>
      <c r="C37" s="62" t="s">
        <v>720</v>
      </c>
      <c r="D37" s="131" t="s">
        <v>630</v>
      </c>
      <c r="E37" s="73" t="s">
        <v>685</v>
      </c>
      <c r="F37" s="67" t="s">
        <v>686</v>
      </c>
      <c r="G37" s="73" t="s">
        <v>265</v>
      </c>
      <c r="H37" s="136" t="s">
        <v>721</v>
      </c>
    </row>
    <row r="38" spans="2:8" x14ac:dyDescent="0.25">
      <c r="B38" s="75">
        <v>200</v>
      </c>
      <c r="C38" s="54" t="s">
        <v>722</v>
      </c>
      <c r="D38" s="129" t="s">
        <v>630</v>
      </c>
      <c r="E38" s="75" t="s">
        <v>685</v>
      </c>
      <c r="F38" s="64" t="s">
        <v>686</v>
      </c>
      <c r="G38" s="75" t="s">
        <v>265</v>
      </c>
      <c r="H38" s="135" t="s">
        <v>721</v>
      </c>
    </row>
    <row r="39" spans="2:8" x14ac:dyDescent="0.25">
      <c r="B39" s="73">
        <v>200</v>
      </c>
      <c r="C39" s="62" t="s">
        <v>723</v>
      </c>
      <c r="D39" s="131" t="s">
        <v>630</v>
      </c>
      <c r="E39" s="73" t="s">
        <v>685</v>
      </c>
      <c r="F39" s="67" t="s">
        <v>686</v>
      </c>
      <c r="G39" s="73" t="s">
        <v>265</v>
      </c>
      <c r="H39" s="136" t="s">
        <v>721</v>
      </c>
    </row>
    <row r="40" spans="2:8" x14ac:dyDescent="0.25">
      <c r="B40" s="75">
        <v>200</v>
      </c>
      <c r="C40" s="54" t="s">
        <v>724</v>
      </c>
      <c r="D40" s="129" t="s">
        <v>630</v>
      </c>
      <c r="E40" s="75" t="s">
        <v>685</v>
      </c>
      <c r="F40" s="64" t="s">
        <v>686</v>
      </c>
      <c r="G40" s="75" t="s">
        <v>265</v>
      </c>
      <c r="H40" s="135" t="s">
        <v>721</v>
      </c>
    </row>
    <row r="41" spans="2:8" x14ac:dyDescent="0.25">
      <c r="B41" s="73">
        <v>200</v>
      </c>
      <c r="C41" s="62" t="s">
        <v>725</v>
      </c>
      <c r="D41" s="131" t="s">
        <v>630</v>
      </c>
      <c r="E41" s="73" t="s">
        <v>685</v>
      </c>
      <c r="F41" s="67" t="s">
        <v>686</v>
      </c>
      <c r="G41" s="73" t="s">
        <v>265</v>
      </c>
      <c r="H41" s="136" t="s">
        <v>726</v>
      </c>
    </row>
    <row r="42" spans="2:8" x14ac:dyDescent="0.25">
      <c r="B42" s="75">
        <v>200</v>
      </c>
      <c r="C42" s="54" t="s">
        <v>720</v>
      </c>
      <c r="D42" s="129" t="s">
        <v>561</v>
      </c>
      <c r="E42" s="75" t="s">
        <v>706</v>
      </c>
      <c r="F42" s="64" t="s">
        <v>686</v>
      </c>
      <c r="G42" s="75" t="s">
        <v>265</v>
      </c>
      <c r="H42" s="135" t="s">
        <v>727</v>
      </c>
    </row>
    <row r="43" spans="2:8" x14ac:dyDescent="0.25">
      <c r="B43" s="73">
        <v>200</v>
      </c>
      <c r="C43" s="62" t="s">
        <v>722</v>
      </c>
      <c r="D43" s="131" t="s">
        <v>561</v>
      </c>
      <c r="E43" s="73" t="s">
        <v>706</v>
      </c>
      <c r="F43" s="67" t="s">
        <v>686</v>
      </c>
      <c r="G43" s="73" t="s">
        <v>265</v>
      </c>
      <c r="H43" s="136" t="s">
        <v>727</v>
      </c>
    </row>
    <row r="44" spans="2:8" x14ac:dyDescent="0.25">
      <c r="B44" s="75">
        <v>200</v>
      </c>
      <c r="C44" s="54" t="s">
        <v>728</v>
      </c>
      <c r="D44" s="129" t="s">
        <v>561</v>
      </c>
      <c r="E44" s="75" t="s">
        <v>706</v>
      </c>
      <c r="F44" s="64" t="s">
        <v>686</v>
      </c>
      <c r="G44" s="75" t="s">
        <v>265</v>
      </c>
      <c r="H44" s="135"/>
    </row>
    <row r="45" spans="2:8" x14ac:dyDescent="0.25">
      <c r="B45" s="73">
        <v>150</v>
      </c>
      <c r="C45" s="62" t="s">
        <v>729</v>
      </c>
      <c r="D45" s="131" t="s">
        <v>634</v>
      </c>
      <c r="E45" s="73" t="s">
        <v>706</v>
      </c>
      <c r="F45" s="67" t="s">
        <v>686</v>
      </c>
      <c r="G45" s="73" t="s">
        <v>265</v>
      </c>
      <c r="H45" s="136" t="s">
        <v>730</v>
      </c>
    </row>
    <row r="46" spans="2:8" x14ac:dyDescent="0.25">
      <c r="B46" s="75">
        <v>150</v>
      </c>
      <c r="C46" s="54" t="s">
        <v>731</v>
      </c>
      <c r="D46" s="129" t="s">
        <v>634</v>
      </c>
      <c r="E46" s="75" t="s">
        <v>706</v>
      </c>
      <c r="F46" s="64" t="s">
        <v>686</v>
      </c>
      <c r="G46" s="75" t="s">
        <v>265</v>
      </c>
      <c r="H46" s="135" t="s">
        <v>730</v>
      </c>
    </row>
    <row r="47" spans="2:8" x14ac:dyDescent="0.25">
      <c r="B47" s="73">
        <v>150</v>
      </c>
      <c r="C47" s="62" t="s">
        <v>732</v>
      </c>
      <c r="D47" s="131" t="s">
        <v>634</v>
      </c>
      <c r="E47" s="73" t="s">
        <v>706</v>
      </c>
      <c r="F47" s="67" t="s">
        <v>686</v>
      </c>
      <c r="G47" s="73" t="s">
        <v>265</v>
      </c>
      <c r="H47" s="136" t="s">
        <v>730</v>
      </c>
    </row>
    <row r="48" spans="2:8" x14ac:dyDescent="0.25">
      <c r="B48" s="75">
        <v>150</v>
      </c>
      <c r="C48" s="54" t="s">
        <v>733</v>
      </c>
      <c r="D48" s="129" t="s">
        <v>571</v>
      </c>
      <c r="E48" s="75" t="s">
        <v>706</v>
      </c>
      <c r="F48" s="64" t="s">
        <v>686</v>
      </c>
      <c r="G48" s="75" t="s">
        <v>265</v>
      </c>
      <c r="H48" s="135" t="s">
        <v>734</v>
      </c>
    </row>
    <row r="49" spans="2:8" x14ac:dyDescent="0.25">
      <c r="B49" s="73">
        <v>150</v>
      </c>
      <c r="C49" s="62" t="s">
        <v>735</v>
      </c>
      <c r="D49" s="131" t="s">
        <v>574</v>
      </c>
      <c r="E49" s="73" t="s">
        <v>706</v>
      </c>
      <c r="F49" s="67" t="s">
        <v>686</v>
      </c>
      <c r="G49" s="73" t="s">
        <v>265</v>
      </c>
      <c r="H49" s="136" t="s">
        <v>736</v>
      </c>
    </row>
    <row r="50" spans="2:8" x14ac:dyDescent="0.25">
      <c r="B50" s="75">
        <v>150</v>
      </c>
      <c r="C50" s="54" t="s">
        <v>737</v>
      </c>
      <c r="D50" s="129" t="s">
        <v>574</v>
      </c>
      <c r="E50" s="75" t="s">
        <v>706</v>
      </c>
      <c r="F50" s="64" t="s">
        <v>686</v>
      </c>
      <c r="G50" s="75" t="s">
        <v>265</v>
      </c>
      <c r="H50" s="135" t="s">
        <v>736</v>
      </c>
    </row>
    <row r="51" spans="2:8" x14ac:dyDescent="0.25">
      <c r="B51" s="73">
        <v>150</v>
      </c>
      <c r="C51" s="62" t="s">
        <v>738</v>
      </c>
      <c r="D51" s="131" t="s">
        <v>634</v>
      </c>
      <c r="E51" s="73" t="s">
        <v>706</v>
      </c>
      <c r="F51" s="67" t="s">
        <v>686</v>
      </c>
      <c r="G51" s="73" t="s">
        <v>265</v>
      </c>
      <c r="H51" s="136" t="s">
        <v>739</v>
      </c>
    </row>
    <row r="52" spans="2:8" x14ac:dyDescent="0.25">
      <c r="B52" s="75">
        <v>150</v>
      </c>
      <c r="C52" s="54" t="s">
        <v>740</v>
      </c>
      <c r="D52" s="129" t="s">
        <v>634</v>
      </c>
      <c r="E52" s="75" t="s">
        <v>706</v>
      </c>
      <c r="F52" s="64" t="s">
        <v>686</v>
      </c>
      <c r="G52" s="75" t="s">
        <v>265</v>
      </c>
      <c r="H52" s="135" t="s">
        <v>730</v>
      </c>
    </row>
    <row r="53" spans="2:8" x14ac:dyDescent="0.25">
      <c r="B53" s="73">
        <v>150</v>
      </c>
      <c r="C53" s="62" t="s">
        <v>741</v>
      </c>
      <c r="D53" s="131" t="s">
        <v>634</v>
      </c>
      <c r="E53" s="73" t="s">
        <v>706</v>
      </c>
      <c r="F53" s="67" t="s">
        <v>686</v>
      </c>
      <c r="G53" s="73" t="s">
        <v>265</v>
      </c>
      <c r="H53" s="136" t="s">
        <v>730</v>
      </c>
    </row>
    <row r="54" spans="2:8" x14ac:dyDescent="0.25">
      <c r="B54" s="75">
        <v>150</v>
      </c>
      <c r="C54" s="54" t="s">
        <v>742</v>
      </c>
      <c r="D54" s="129" t="s">
        <v>634</v>
      </c>
      <c r="E54" s="75" t="s">
        <v>706</v>
      </c>
      <c r="F54" s="64" t="s">
        <v>686</v>
      </c>
      <c r="G54" s="75" t="s">
        <v>265</v>
      </c>
      <c r="H54" s="135" t="s">
        <v>730</v>
      </c>
    </row>
    <row r="55" spans="2:8" x14ac:dyDescent="0.25">
      <c r="B55" s="73">
        <v>150</v>
      </c>
      <c r="C55" s="62" t="s">
        <v>743</v>
      </c>
      <c r="D55" s="131" t="s">
        <v>571</v>
      </c>
      <c r="E55" s="73" t="s">
        <v>706</v>
      </c>
      <c r="F55" s="67" t="s">
        <v>686</v>
      </c>
      <c r="G55" s="73" t="s">
        <v>265</v>
      </c>
      <c r="H55" s="136" t="s">
        <v>734</v>
      </c>
    </row>
    <row r="56" spans="2:8" x14ac:dyDescent="0.25">
      <c r="B56" s="75">
        <v>150</v>
      </c>
      <c r="C56" s="54" t="s">
        <v>744</v>
      </c>
      <c r="D56" s="129" t="s">
        <v>574</v>
      </c>
      <c r="E56" s="75" t="s">
        <v>706</v>
      </c>
      <c r="F56" s="64" t="s">
        <v>686</v>
      </c>
      <c r="G56" s="75" t="s">
        <v>265</v>
      </c>
      <c r="H56" s="135" t="s">
        <v>736</v>
      </c>
    </row>
    <row r="57" spans="2:8" x14ac:dyDescent="0.25">
      <c r="B57" s="73">
        <v>150</v>
      </c>
      <c r="C57" s="62" t="s">
        <v>745</v>
      </c>
      <c r="D57" s="131" t="s">
        <v>574</v>
      </c>
      <c r="E57" s="73" t="s">
        <v>706</v>
      </c>
      <c r="F57" s="67" t="s">
        <v>686</v>
      </c>
      <c r="G57" s="73" t="s">
        <v>265</v>
      </c>
      <c r="H57" s="136" t="s">
        <v>736</v>
      </c>
    </row>
    <row r="58" spans="2:8" x14ac:dyDescent="0.25">
      <c r="B58" s="75">
        <v>150</v>
      </c>
      <c r="C58" s="54" t="s">
        <v>746</v>
      </c>
      <c r="D58" s="129" t="s">
        <v>634</v>
      </c>
      <c r="E58" s="75" t="s">
        <v>706</v>
      </c>
      <c r="F58" s="64" t="s">
        <v>686</v>
      </c>
      <c r="G58" s="75" t="s">
        <v>265</v>
      </c>
      <c r="H58" s="135" t="s">
        <v>739</v>
      </c>
    </row>
    <row r="59" spans="2:8" x14ac:dyDescent="0.25">
      <c r="B59" s="73">
        <v>150</v>
      </c>
      <c r="C59" s="62" t="s">
        <v>747</v>
      </c>
      <c r="D59" s="131" t="s">
        <v>634</v>
      </c>
      <c r="E59" s="73" t="s">
        <v>706</v>
      </c>
      <c r="F59" s="67" t="s">
        <v>686</v>
      </c>
      <c r="G59" s="73" t="s">
        <v>265</v>
      </c>
      <c r="H59" s="136" t="s">
        <v>730</v>
      </c>
    </row>
    <row r="60" spans="2:8" x14ac:dyDescent="0.25">
      <c r="B60" s="75">
        <v>150</v>
      </c>
      <c r="C60" s="54" t="s">
        <v>748</v>
      </c>
      <c r="D60" s="129" t="s">
        <v>634</v>
      </c>
      <c r="E60" s="75" t="s">
        <v>706</v>
      </c>
      <c r="F60" s="64" t="s">
        <v>686</v>
      </c>
      <c r="G60" s="75" t="s">
        <v>265</v>
      </c>
      <c r="H60" s="135" t="s">
        <v>730</v>
      </c>
    </row>
    <row r="61" spans="2:8" x14ac:dyDescent="0.25">
      <c r="B61" s="73">
        <v>150</v>
      </c>
      <c r="C61" s="62" t="s">
        <v>749</v>
      </c>
      <c r="D61" s="131" t="s">
        <v>634</v>
      </c>
      <c r="E61" s="73" t="s">
        <v>706</v>
      </c>
      <c r="F61" s="67" t="s">
        <v>686</v>
      </c>
      <c r="G61" s="73" t="s">
        <v>265</v>
      </c>
      <c r="H61" s="136" t="s">
        <v>730</v>
      </c>
    </row>
    <row r="62" spans="2:8" x14ac:dyDescent="0.25">
      <c r="B62" s="75">
        <v>150</v>
      </c>
      <c r="C62" s="54" t="s">
        <v>750</v>
      </c>
      <c r="D62" s="129" t="s">
        <v>571</v>
      </c>
      <c r="E62" s="75" t="s">
        <v>706</v>
      </c>
      <c r="F62" s="64" t="s">
        <v>686</v>
      </c>
      <c r="G62" s="75" t="s">
        <v>265</v>
      </c>
      <c r="H62" s="135" t="s">
        <v>734</v>
      </c>
    </row>
    <row r="63" spans="2:8" x14ac:dyDescent="0.25">
      <c r="B63" s="73">
        <v>150</v>
      </c>
      <c r="C63" s="62" t="s">
        <v>751</v>
      </c>
      <c r="D63" s="131" t="s">
        <v>574</v>
      </c>
      <c r="E63" s="73" t="s">
        <v>706</v>
      </c>
      <c r="F63" s="67" t="s">
        <v>686</v>
      </c>
      <c r="G63" s="73" t="s">
        <v>265</v>
      </c>
      <c r="H63" s="136" t="s">
        <v>736</v>
      </c>
    </row>
    <row r="64" spans="2:8" x14ac:dyDescent="0.25">
      <c r="B64" s="75">
        <v>150</v>
      </c>
      <c r="C64" s="54" t="s">
        <v>752</v>
      </c>
      <c r="D64" s="129" t="s">
        <v>574</v>
      </c>
      <c r="E64" s="75" t="s">
        <v>706</v>
      </c>
      <c r="F64" s="64" t="s">
        <v>686</v>
      </c>
      <c r="G64" s="75" t="s">
        <v>265</v>
      </c>
      <c r="H64" s="135" t="s">
        <v>736</v>
      </c>
    </row>
    <row r="65" spans="2:8" x14ac:dyDescent="0.25">
      <c r="B65" s="73">
        <v>150</v>
      </c>
      <c r="C65" s="62" t="s">
        <v>753</v>
      </c>
      <c r="D65" s="131" t="s">
        <v>634</v>
      </c>
      <c r="E65" s="73" t="s">
        <v>706</v>
      </c>
      <c r="F65" s="67" t="s">
        <v>686</v>
      </c>
      <c r="G65" s="73" t="s">
        <v>265</v>
      </c>
      <c r="H65" s="136" t="s">
        <v>739</v>
      </c>
    </row>
    <row r="66" spans="2:8" x14ac:dyDescent="0.25">
      <c r="B66" s="75">
        <v>150</v>
      </c>
      <c r="C66" s="54" t="s">
        <v>754</v>
      </c>
      <c r="D66" s="129" t="s">
        <v>634</v>
      </c>
      <c r="E66" s="75" t="s">
        <v>706</v>
      </c>
      <c r="F66" s="64" t="s">
        <v>686</v>
      </c>
      <c r="G66" s="75" t="s">
        <v>265</v>
      </c>
      <c r="H66" s="135" t="s">
        <v>730</v>
      </c>
    </row>
    <row r="67" spans="2:8" x14ac:dyDescent="0.25">
      <c r="B67" s="73">
        <v>150</v>
      </c>
      <c r="C67" s="62" t="s">
        <v>755</v>
      </c>
      <c r="D67" s="131" t="s">
        <v>634</v>
      </c>
      <c r="E67" s="73" t="s">
        <v>706</v>
      </c>
      <c r="F67" s="67" t="s">
        <v>686</v>
      </c>
      <c r="G67" s="73" t="s">
        <v>265</v>
      </c>
      <c r="H67" s="136" t="s">
        <v>730</v>
      </c>
    </row>
    <row r="68" spans="2:8" x14ac:dyDescent="0.25">
      <c r="B68" s="75">
        <v>150</v>
      </c>
      <c r="C68" s="54" t="s">
        <v>756</v>
      </c>
      <c r="D68" s="129" t="s">
        <v>634</v>
      </c>
      <c r="E68" s="75" t="s">
        <v>706</v>
      </c>
      <c r="F68" s="64" t="s">
        <v>686</v>
      </c>
      <c r="G68" s="75" t="s">
        <v>265</v>
      </c>
      <c r="H68" s="135" t="s">
        <v>730</v>
      </c>
    </row>
    <row r="69" spans="2:8" x14ac:dyDescent="0.25">
      <c r="B69" s="73">
        <v>150</v>
      </c>
      <c r="C69" s="62" t="s">
        <v>757</v>
      </c>
      <c r="D69" s="131" t="s">
        <v>571</v>
      </c>
      <c r="E69" s="73" t="s">
        <v>706</v>
      </c>
      <c r="F69" s="67" t="s">
        <v>686</v>
      </c>
      <c r="G69" s="73" t="s">
        <v>265</v>
      </c>
      <c r="H69" s="136" t="s">
        <v>734</v>
      </c>
    </row>
    <row r="70" spans="2:8" x14ac:dyDescent="0.25">
      <c r="B70" s="75">
        <v>150</v>
      </c>
      <c r="C70" s="54" t="s">
        <v>758</v>
      </c>
      <c r="D70" s="129" t="s">
        <v>574</v>
      </c>
      <c r="E70" s="75" t="s">
        <v>706</v>
      </c>
      <c r="F70" s="64" t="s">
        <v>686</v>
      </c>
      <c r="G70" s="75" t="s">
        <v>265</v>
      </c>
      <c r="H70" s="135" t="s">
        <v>736</v>
      </c>
    </row>
    <row r="71" spans="2:8" x14ac:dyDescent="0.25">
      <c r="B71" s="73">
        <v>150</v>
      </c>
      <c r="C71" s="62" t="s">
        <v>759</v>
      </c>
      <c r="D71" s="131" t="s">
        <v>574</v>
      </c>
      <c r="E71" s="73" t="s">
        <v>706</v>
      </c>
      <c r="F71" s="67" t="s">
        <v>686</v>
      </c>
      <c r="G71" s="73" t="s">
        <v>265</v>
      </c>
      <c r="H71" s="136" t="s">
        <v>736</v>
      </c>
    </row>
    <row r="72" spans="2:8" x14ac:dyDescent="0.25">
      <c r="B72" s="75">
        <v>150</v>
      </c>
      <c r="C72" s="54" t="s">
        <v>760</v>
      </c>
      <c r="D72" s="129" t="s">
        <v>634</v>
      </c>
      <c r="E72" s="75" t="s">
        <v>706</v>
      </c>
      <c r="F72" s="64" t="s">
        <v>686</v>
      </c>
      <c r="G72" s="75" t="s">
        <v>265</v>
      </c>
      <c r="H72" s="135" t="s">
        <v>739</v>
      </c>
    </row>
    <row r="73" spans="2:8" x14ac:dyDescent="0.25">
      <c r="B73" s="73">
        <v>150</v>
      </c>
      <c r="C73" s="62" t="s">
        <v>761</v>
      </c>
      <c r="D73" s="131" t="s">
        <v>634</v>
      </c>
      <c r="E73" s="73" t="s">
        <v>706</v>
      </c>
      <c r="F73" s="67" t="s">
        <v>686</v>
      </c>
      <c r="G73" s="73" t="s">
        <v>265</v>
      </c>
      <c r="H73" s="136" t="s">
        <v>730</v>
      </c>
    </row>
    <row r="74" spans="2:8" x14ac:dyDescent="0.25">
      <c r="B74" s="75">
        <v>150</v>
      </c>
      <c r="C74" s="54" t="s">
        <v>762</v>
      </c>
      <c r="D74" s="129" t="s">
        <v>634</v>
      </c>
      <c r="E74" s="75" t="s">
        <v>706</v>
      </c>
      <c r="F74" s="64" t="s">
        <v>686</v>
      </c>
      <c r="G74" s="75" t="s">
        <v>265</v>
      </c>
      <c r="H74" s="135" t="s">
        <v>730</v>
      </c>
    </row>
    <row r="75" spans="2:8" x14ac:dyDescent="0.25">
      <c r="B75" s="73">
        <v>150</v>
      </c>
      <c r="C75" s="62" t="s">
        <v>763</v>
      </c>
      <c r="D75" s="131" t="s">
        <v>634</v>
      </c>
      <c r="E75" s="73" t="s">
        <v>706</v>
      </c>
      <c r="F75" s="67" t="s">
        <v>686</v>
      </c>
      <c r="G75" s="73" t="s">
        <v>265</v>
      </c>
      <c r="H75" s="136" t="s">
        <v>730</v>
      </c>
    </row>
    <row r="76" spans="2:8" x14ac:dyDescent="0.25">
      <c r="B76" s="75">
        <v>150</v>
      </c>
      <c r="C76" s="54" t="s">
        <v>764</v>
      </c>
      <c r="D76" s="129" t="s">
        <v>571</v>
      </c>
      <c r="E76" s="75" t="s">
        <v>706</v>
      </c>
      <c r="F76" s="64" t="s">
        <v>686</v>
      </c>
      <c r="G76" s="75" t="s">
        <v>265</v>
      </c>
      <c r="H76" s="135" t="s">
        <v>734</v>
      </c>
    </row>
    <row r="77" spans="2:8" x14ac:dyDescent="0.25">
      <c r="B77" s="73">
        <v>150</v>
      </c>
      <c r="C77" s="62" t="s">
        <v>765</v>
      </c>
      <c r="D77" s="131" t="s">
        <v>574</v>
      </c>
      <c r="E77" s="73" t="s">
        <v>706</v>
      </c>
      <c r="F77" s="67" t="s">
        <v>686</v>
      </c>
      <c r="G77" s="73" t="s">
        <v>265</v>
      </c>
      <c r="H77" s="136" t="s">
        <v>736</v>
      </c>
    </row>
    <row r="78" spans="2:8" x14ac:dyDescent="0.25">
      <c r="B78" s="75">
        <v>150</v>
      </c>
      <c r="C78" s="54" t="s">
        <v>766</v>
      </c>
      <c r="D78" s="129" t="s">
        <v>574</v>
      </c>
      <c r="E78" s="75" t="s">
        <v>706</v>
      </c>
      <c r="F78" s="64" t="s">
        <v>686</v>
      </c>
      <c r="G78" s="75" t="s">
        <v>265</v>
      </c>
      <c r="H78" s="135" t="s">
        <v>736</v>
      </c>
    </row>
    <row r="79" spans="2:8" x14ac:dyDescent="0.25">
      <c r="B79" s="73">
        <v>150</v>
      </c>
      <c r="C79" s="62" t="s">
        <v>767</v>
      </c>
      <c r="D79" s="131" t="s">
        <v>634</v>
      </c>
      <c r="E79" s="73" t="s">
        <v>706</v>
      </c>
      <c r="F79" s="67" t="s">
        <v>686</v>
      </c>
      <c r="G79" s="73" t="s">
        <v>265</v>
      </c>
      <c r="H79" s="136" t="s">
        <v>739</v>
      </c>
    </row>
    <row r="80" spans="2:8" x14ac:dyDescent="0.25">
      <c r="B80" s="75">
        <v>150</v>
      </c>
      <c r="C80" s="54" t="s">
        <v>768</v>
      </c>
      <c r="D80" s="129" t="s">
        <v>634</v>
      </c>
      <c r="E80" s="75" t="s">
        <v>706</v>
      </c>
      <c r="F80" s="64" t="s">
        <v>686</v>
      </c>
      <c r="G80" s="75" t="s">
        <v>265</v>
      </c>
      <c r="H80" s="135" t="s">
        <v>730</v>
      </c>
    </row>
    <row r="81" spans="2:8" x14ac:dyDescent="0.25">
      <c r="B81" s="73">
        <v>150</v>
      </c>
      <c r="C81" s="62" t="s">
        <v>769</v>
      </c>
      <c r="D81" s="131" t="s">
        <v>634</v>
      </c>
      <c r="E81" s="73" t="s">
        <v>706</v>
      </c>
      <c r="F81" s="67" t="s">
        <v>686</v>
      </c>
      <c r="G81" s="73" t="s">
        <v>265</v>
      </c>
      <c r="H81" s="136" t="s">
        <v>730</v>
      </c>
    </row>
    <row r="82" spans="2:8" x14ac:dyDescent="0.25">
      <c r="B82" s="75">
        <v>150</v>
      </c>
      <c r="C82" s="54" t="s">
        <v>770</v>
      </c>
      <c r="D82" s="129" t="s">
        <v>634</v>
      </c>
      <c r="E82" s="75" t="s">
        <v>706</v>
      </c>
      <c r="F82" s="64" t="s">
        <v>686</v>
      </c>
      <c r="G82" s="75" t="s">
        <v>265</v>
      </c>
      <c r="H82" s="135" t="s">
        <v>730</v>
      </c>
    </row>
    <row r="83" spans="2:8" x14ac:dyDescent="0.25">
      <c r="B83" s="73">
        <v>150</v>
      </c>
      <c r="C83" s="62" t="s">
        <v>771</v>
      </c>
      <c r="D83" s="131" t="s">
        <v>571</v>
      </c>
      <c r="E83" s="73" t="s">
        <v>706</v>
      </c>
      <c r="F83" s="67" t="s">
        <v>686</v>
      </c>
      <c r="G83" s="73" t="s">
        <v>265</v>
      </c>
      <c r="H83" s="136" t="s">
        <v>734</v>
      </c>
    </row>
    <row r="84" spans="2:8" x14ac:dyDescent="0.25">
      <c r="B84" s="75">
        <v>150</v>
      </c>
      <c r="C84" s="54" t="s">
        <v>772</v>
      </c>
      <c r="D84" s="129" t="s">
        <v>574</v>
      </c>
      <c r="E84" s="75" t="s">
        <v>706</v>
      </c>
      <c r="F84" s="64" t="s">
        <v>686</v>
      </c>
      <c r="G84" s="75" t="s">
        <v>265</v>
      </c>
      <c r="H84" s="135" t="s">
        <v>736</v>
      </c>
    </row>
    <row r="85" spans="2:8" x14ac:dyDescent="0.25">
      <c r="B85" s="73">
        <v>150</v>
      </c>
      <c r="C85" s="62" t="s">
        <v>773</v>
      </c>
      <c r="D85" s="131" t="s">
        <v>574</v>
      </c>
      <c r="E85" s="73" t="s">
        <v>706</v>
      </c>
      <c r="F85" s="67" t="s">
        <v>686</v>
      </c>
      <c r="G85" s="73" t="s">
        <v>265</v>
      </c>
      <c r="H85" s="136" t="s">
        <v>736</v>
      </c>
    </row>
    <row r="86" spans="2:8" x14ac:dyDescent="0.25">
      <c r="B86" s="75">
        <v>150</v>
      </c>
      <c r="C86" s="54" t="s">
        <v>774</v>
      </c>
      <c r="D86" s="129" t="s">
        <v>634</v>
      </c>
      <c r="E86" s="75" t="s">
        <v>706</v>
      </c>
      <c r="F86" s="64" t="s">
        <v>686</v>
      </c>
      <c r="G86" s="75" t="s">
        <v>265</v>
      </c>
      <c r="H86" s="135" t="s">
        <v>739</v>
      </c>
    </row>
    <row r="87" spans="2:8" x14ac:dyDescent="0.25">
      <c r="B87" s="73">
        <v>150</v>
      </c>
      <c r="C87" s="62" t="s">
        <v>775</v>
      </c>
      <c r="D87" s="131" t="s">
        <v>634</v>
      </c>
      <c r="E87" s="73" t="s">
        <v>706</v>
      </c>
      <c r="F87" s="67" t="s">
        <v>686</v>
      </c>
      <c r="G87" s="73" t="s">
        <v>265</v>
      </c>
      <c r="H87" s="136" t="s">
        <v>730</v>
      </c>
    </row>
    <row r="88" spans="2:8" x14ac:dyDescent="0.25">
      <c r="B88" s="75">
        <v>150</v>
      </c>
      <c r="C88" s="54" t="s">
        <v>776</v>
      </c>
      <c r="D88" s="129" t="s">
        <v>634</v>
      </c>
      <c r="E88" s="75" t="s">
        <v>706</v>
      </c>
      <c r="F88" s="64" t="s">
        <v>686</v>
      </c>
      <c r="G88" s="75" t="s">
        <v>265</v>
      </c>
      <c r="H88" s="135" t="s">
        <v>730</v>
      </c>
    </row>
    <row r="89" spans="2:8" x14ac:dyDescent="0.25">
      <c r="B89" s="73">
        <v>150</v>
      </c>
      <c r="C89" s="62" t="s">
        <v>777</v>
      </c>
      <c r="D89" s="131" t="s">
        <v>634</v>
      </c>
      <c r="E89" s="73" t="s">
        <v>706</v>
      </c>
      <c r="F89" s="67" t="s">
        <v>686</v>
      </c>
      <c r="G89" s="73" t="s">
        <v>265</v>
      </c>
      <c r="H89" s="136" t="s">
        <v>730</v>
      </c>
    </row>
    <row r="90" spans="2:8" x14ac:dyDescent="0.25">
      <c r="B90" s="75">
        <v>150</v>
      </c>
      <c r="C90" s="54" t="s">
        <v>778</v>
      </c>
      <c r="D90" s="129" t="s">
        <v>571</v>
      </c>
      <c r="E90" s="75" t="s">
        <v>706</v>
      </c>
      <c r="F90" s="64" t="s">
        <v>686</v>
      </c>
      <c r="G90" s="75" t="s">
        <v>265</v>
      </c>
      <c r="H90" s="135" t="s">
        <v>734</v>
      </c>
    </row>
    <row r="91" spans="2:8" x14ac:dyDescent="0.25">
      <c r="B91" s="73">
        <v>150</v>
      </c>
      <c r="C91" s="62" t="s">
        <v>779</v>
      </c>
      <c r="D91" s="131" t="s">
        <v>574</v>
      </c>
      <c r="E91" s="73" t="s">
        <v>706</v>
      </c>
      <c r="F91" s="67" t="s">
        <v>686</v>
      </c>
      <c r="G91" s="73" t="s">
        <v>265</v>
      </c>
      <c r="H91" s="136" t="s">
        <v>736</v>
      </c>
    </row>
    <row r="92" spans="2:8" x14ac:dyDescent="0.25">
      <c r="B92" s="75">
        <v>150</v>
      </c>
      <c r="C92" s="54" t="s">
        <v>780</v>
      </c>
      <c r="D92" s="129" t="s">
        <v>574</v>
      </c>
      <c r="E92" s="75" t="s">
        <v>706</v>
      </c>
      <c r="F92" s="64" t="s">
        <v>686</v>
      </c>
      <c r="G92" s="75" t="s">
        <v>265</v>
      </c>
      <c r="H92" s="135" t="s">
        <v>736</v>
      </c>
    </row>
    <row r="93" spans="2:8" x14ac:dyDescent="0.25">
      <c r="B93" s="73">
        <v>150</v>
      </c>
      <c r="C93" s="62" t="s">
        <v>781</v>
      </c>
      <c r="D93" s="131" t="s">
        <v>634</v>
      </c>
      <c r="E93" s="73" t="s">
        <v>706</v>
      </c>
      <c r="F93" s="67" t="s">
        <v>686</v>
      </c>
      <c r="G93" s="73" t="s">
        <v>265</v>
      </c>
      <c r="H93" s="136" t="s">
        <v>739</v>
      </c>
    </row>
    <row r="94" spans="2:8" x14ac:dyDescent="0.25">
      <c r="B94" s="75">
        <v>150</v>
      </c>
      <c r="C94" s="54" t="s">
        <v>782</v>
      </c>
      <c r="D94" s="129" t="s">
        <v>634</v>
      </c>
      <c r="E94" s="75" t="s">
        <v>706</v>
      </c>
      <c r="F94" s="64" t="s">
        <v>686</v>
      </c>
      <c r="G94" s="75" t="s">
        <v>265</v>
      </c>
      <c r="H94" s="135" t="s">
        <v>730</v>
      </c>
    </row>
    <row r="95" spans="2:8" x14ac:dyDescent="0.25">
      <c r="B95" s="73">
        <v>140</v>
      </c>
      <c r="C95" s="62" t="s">
        <v>783</v>
      </c>
      <c r="D95" s="131" t="s">
        <v>571</v>
      </c>
      <c r="E95" s="73" t="s">
        <v>706</v>
      </c>
      <c r="F95" s="67" t="s">
        <v>686</v>
      </c>
      <c r="G95" s="73" t="s">
        <v>265</v>
      </c>
      <c r="H95" s="136" t="s">
        <v>734</v>
      </c>
    </row>
    <row r="96" spans="2:8" x14ac:dyDescent="0.25">
      <c r="B96" s="75">
        <v>200</v>
      </c>
      <c r="C96" s="54" t="s">
        <v>784</v>
      </c>
      <c r="D96" s="129" t="s">
        <v>634</v>
      </c>
      <c r="E96" s="75" t="s">
        <v>706</v>
      </c>
      <c r="F96" s="64" t="s">
        <v>686</v>
      </c>
      <c r="G96" s="75" t="s">
        <v>265</v>
      </c>
      <c r="H96" s="135" t="s">
        <v>785</v>
      </c>
    </row>
    <row r="97" spans="2:8" x14ac:dyDescent="0.25">
      <c r="B97" s="73">
        <v>200</v>
      </c>
      <c r="C97" s="62" t="s">
        <v>786</v>
      </c>
      <c r="D97" s="131" t="s">
        <v>634</v>
      </c>
      <c r="E97" s="73" t="s">
        <v>706</v>
      </c>
      <c r="F97" s="67" t="s">
        <v>686</v>
      </c>
      <c r="G97" s="73" t="s">
        <v>265</v>
      </c>
      <c r="H97" s="136" t="s">
        <v>787</v>
      </c>
    </row>
    <row r="98" spans="2:8" x14ac:dyDescent="0.25">
      <c r="B98" s="75">
        <v>200</v>
      </c>
      <c r="C98" s="54" t="s">
        <v>788</v>
      </c>
      <c r="D98" s="129" t="s">
        <v>571</v>
      </c>
      <c r="E98" s="75" t="s">
        <v>706</v>
      </c>
      <c r="F98" s="64" t="s">
        <v>686</v>
      </c>
      <c r="G98" s="75" t="s">
        <v>265</v>
      </c>
      <c r="H98" s="135" t="s">
        <v>789</v>
      </c>
    </row>
    <row r="99" spans="2:8" x14ac:dyDescent="0.25">
      <c r="B99" s="73">
        <v>200</v>
      </c>
      <c r="C99" s="62" t="s">
        <v>790</v>
      </c>
      <c r="D99" s="131" t="s">
        <v>571</v>
      </c>
      <c r="E99" s="73" t="s">
        <v>706</v>
      </c>
      <c r="F99" s="67" t="s">
        <v>686</v>
      </c>
      <c r="G99" s="73" t="s">
        <v>265</v>
      </c>
      <c r="H99" s="136"/>
    </row>
    <row r="100" spans="2:8" x14ac:dyDescent="0.25">
      <c r="B100" s="75">
        <v>200</v>
      </c>
      <c r="C100" s="54" t="s">
        <v>791</v>
      </c>
      <c r="D100" s="129" t="s">
        <v>571</v>
      </c>
      <c r="E100" s="75" t="s">
        <v>706</v>
      </c>
      <c r="F100" s="64" t="s">
        <v>686</v>
      </c>
      <c r="G100" s="75" t="s">
        <v>265</v>
      </c>
      <c r="H100" s="135"/>
    </row>
    <row r="101" spans="2:8" x14ac:dyDescent="0.25">
      <c r="B101" s="73">
        <v>300</v>
      </c>
      <c r="C101" s="62" t="s">
        <v>792</v>
      </c>
      <c r="D101" s="131" t="s">
        <v>634</v>
      </c>
      <c r="E101" s="73" t="s">
        <v>706</v>
      </c>
      <c r="F101" s="67" t="s">
        <v>686</v>
      </c>
      <c r="G101" s="73" t="s">
        <v>265</v>
      </c>
      <c r="H101" s="136" t="s">
        <v>793</v>
      </c>
    </row>
    <row r="102" spans="2:8" x14ac:dyDescent="0.25">
      <c r="B102" s="75">
        <v>200</v>
      </c>
      <c r="C102" s="54" t="s">
        <v>794</v>
      </c>
      <c r="D102" s="129" t="s">
        <v>514</v>
      </c>
      <c r="E102" s="75" t="s">
        <v>706</v>
      </c>
      <c r="F102" s="64" t="s">
        <v>686</v>
      </c>
      <c r="G102" s="75" t="s">
        <v>265</v>
      </c>
      <c r="H102" s="135"/>
    </row>
    <row r="103" spans="2:8" x14ac:dyDescent="0.25">
      <c r="B103" s="73">
        <v>200</v>
      </c>
      <c r="C103" s="62" t="s">
        <v>795</v>
      </c>
      <c r="D103" s="131" t="s">
        <v>520</v>
      </c>
      <c r="E103" s="73" t="s">
        <v>706</v>
      </c>
      <c r="F103" s="67" t="s">
        <v>686</v>
      </c>
      <c r="G103" s="73" t="s">
        <v>265</v>
      </c>
      <c r="H103" s="136"/>
    </row>
    <row r="104" spans="2:8" x14ac:dyDescent="0.25">
      <c r="B104" s="75">
        <v>200</v>
      </c>
      <c r="C104" s="54" t="s">
        <v>796</v>
      </c>
      <c r="D104" s="129" t="s">
        <v>520</v>
      </c>
      <c r="E104" s="75" t="s">
        <v>706</v>
      </c>
      <c r="F104" s="64" t="s">
        <v>686</v>
      </c>
      <c r="G104" s="75" t="s">
        <v>265</v>
      </c>
      <c r="H104" s="135"/>
    </row>
    <row r="105" spans="2:8" x14ac:dyDescent="0.25">
      <c r="B105" s="73">
        <v>200</v>
      </c>
      <c r="C105" s="62" t="s">
        <v>797</v>
      </c>
      <c r="D105" s="131" t="s">
        <v>520</v>
      </c>
      <c r="E105" s="73" t="s">
        <v>706</v>
      </c>
      <c r="F105" s="67" t="s">
        <v>686</v>
      </c>
      <c r="G105" s="73" t="s">
        <v>265</v>
      </c>
      <c r="H105" s="136" t="s">
        <v>798</v>
      </c>
    </row>
    <row r="106" spans="2:8" x14ac:dyDescent="0.25">
      <c r="B106" s="75">
        <v>200</v>
      </c>
      <c r="C106" s="54" t="s">
        <v>799</v>
      </c>
      <c r="D106" s="129" t="s">
        <v>514</v>
      </c>
      <c r="E106" s="75" t="s">
        <v>706</v>
      </c>
      <c r="F106" s="64" t="s">
        <v>686</v>
      </c>
      <c r="G106" s="75" t="s">
        <v>265</v>
      </c>
      <c r="H106" s="135"/>
    </row>
    <row r="107" spans="2:8" x14ac:dyDescent="0.25">
      <c r="B107" s="73">
        <v>200</v>
      </c>
      <c r="C107" s="62" t="s">
        <v>800</v>
      </c>
      <c r="D107" s="131" t="s">
        <v>514</v>
      </c>
      <c r="E107" s="73" t="s">
        <v>706</v>
      </c>
      <c r="F107" s="67" t="s">
        <v>686</v>
      </c>
      <c r="G107" s="73" t="s">
        <v>265</v>
      </c>
      <c r="H107" s="136"/>
    </row>
    <row r="108" spans="2:8" x14ac:dyDescent="0.25">
      <c r="B108" s="75">
        <v>200</v>
      </c>
      <c r="C108" s="54" t="s">
        <v>801</v>
      </c>
      <c r="D108" s="129" t="s">
        <v>514</v>
      </c>
      <c r="E108" s="75" t="s">
        <v>706</v>
      </c>
      <c r="F108" s="64" t="s">
        <v>686</v>
      </c>
      <c r="G108" s="75" t="s">
        <v>265</v>
      </c>
      <c r="H108" s="135"/>
    </row>
    <row r="109" spans="2:8" x14ac:dyDescent="0.25">
      <c r="B109" s="73">
        <v>200</v>
      </c>
      <c r="C109" s="62" t="s">
        <v>802</v>
      </c>
      <c r="D109" s="131" t="s">
        <v>514</v>
      </c>
      <c r="E109" s="73" t="s">
        <v>706</v>
      </c>
      <c r="F109" s="67" t="s">
        <v>686</v>
      </c>
      <c r="G109" s="73" t="s">
        <v>265</v>
      </c>
      <c r="H109" s="136"/>
    </row>
    <row r="110" spans="2:8" x14ac:dyDescent="0.25">
      <c r="B110" s="75">
        <v>200</v>
      </c>
      <c r="C110" s="54" t="s">
        <v>803</v>
      </c>
      <c r="D110" s="129" t="s">
        <v>521</v>
      </c>
      <c r="E110" s="75" t="s">
        <v>706</v>
      </c>
      <c r="F110" s="64" t="s">
        <v>686</v>
      </c>
      <c r="G110" s="75" t="s">
        <v>265</v>
      </c>
      <c r="H110" s="135"/>
    </row>
    <row r="111" spans="2:8" x14ac:dyDescent="0.25">
      <c r="B111" s="73">
        <v>200</v>
      </c>
      <c r="C111" s="62" t="s">
        <v>804</v>
      </c>
      <c r="D111" s="131" t="s">
        <v>521</v>
      </c>
      <c r="E111" s="73" t="s">
        <v>706</v>
      </c>
      <c r="F111" s="67" t="s">
        <v>686</v>
      </c>
      <c r="G111" s="73" t="s">
        <v>265</v>
      </c>
      <c r="H111" s="136"/>
    </row>
    <row r="112" spans="2:8" x14ac:dyDescent="0.25">
      <c r="B112" s="75">
        <v>200</v>
      </c>
      <c r="C112" s="54" t="s">
        <v>805</v>
      </c>
      <c r="D112" s="129" t="s">
        <v>525</v>
      </c>
      <c r="E112" s="75" t="s">
        <v>706</v>
      </c>
      <c r="F112" s="64" t="s">
        <v>686</v>
      </c>
      <c r="G112" s="75" t="s">
        <v>265</v>
      </c>
      <c r="H112" s="135"/>
    </row>
    <row r="113" spans="2:8" x14ac:dyDescent="0.25">
      <c r="B113" s="73">
        <v>200</v>
      </c>
      <c r="C113" s="62" t="s">
        <v>806</v>
      </c>
      <c r="D113" s="131" t="s">
        <v>525</v>
      </c>
      <c r="E113" s="73" t="s">
        <v>706</v>
      </c>
      <c r="F113" s="67" t="s">
        <v>686</v>
      </c>
      <c r="G113" s="73" t="s">
        <v>265</v>
      </c>
      <c r="H113" s="136"/>
    </row>
    <row r="114" spans="2:8" x14ac:dyDescent="0.25">
      <c r="B114" s="75">
        <v>200</v>
      </c>
      <c r="C114" s="54" t="s">
        <v>807</v>
      </c>
      <c r="D114" s="129" t="s">
        <v>534</v>
      </c>
      <c r="E114" s="75" t="s">
        <v>706</v>
      </c>
      <c r="F114" s="64" t="s">
        <v>686</v>
      </c>
      <c r="G114" s="75" t="s">
        <v>265</v>
      </c>
      <c r="H114" s="135"/>
    </row>
    <row r="115" spans="2:8" x14ac:dyDescent="0.25">
      <c r="B115" s="73">
        <v>200</v>
      </c>
      <c r="C115" s="62" t="s">
        <v>808</v>
      </c>
      <c r="D115" s="131" t="s">
        <v>534</v>
      </c>
      <c r="E115" s="73" t="s">
        <v>706</v>
      </c>
      <c r="F115" s="67" t="s">
        <v>686</v>
      </c>
      <c r="G115" s="73" t="s">
        <v>265</v>
      </c>
      <c r="H115" s="136"/>
    </row>
    <row r="116" spans="2:8" x14ac:dyDescent="0.25">
      <c r="B116" s="75">
        <v>200</v>
      </c>
      <c r="C116" s="54" t="s">
        <v>809</v>
      </c>
      <c r="D116" s="129" t="s">
        <v>534</v>
      </c>
      <c r="E116" s="75" t="s">
        <v>706</v>
      </c>
      <c r="F116" s="64" t="s">
        <v>686</v>
      </c>
      <c r="G116" s="75" t="s">
        <v>265</v>
      </c>
      <c r="H116" s="135"/>
    </row>
    <row r="117" spans="2:8" x14ac:dyDescent="0.25">
      <c r="B117" s="73">
        <v>200</v>
      </c>
      <c r="C117" s="62" t="s">
        <v>810</v>
      </c>
      <c r="D117" s="131" t="s">
        <v>537</v>
      </c>
      <c r="E117" s="73" t="s">
        <v>706</v>
      </c>
      <c r="F117" s="67" t="s">
        <v>686</v>
      </c>
      <c r="G117" s="73" t="s">
        <v>265</v>
      </c>
      <c r="H117" s="136"/>
    </row>
    <row r="118" spans="2:8" x14ac:dyDescent="0.25">
      <c r="B118" s="75">
        <v>200</v>
      </c>
      <c r="C118" s="54" t="s">
        <v>811</v>
      </c>
      <c r="D118" s="129" t="s">
        <v>537</v>
      </c>
      <c r="E118" s="75" t="s">
        <v>706</v>
      </c>
      <c r="F118" s="64" t="s">
        <v>686</v>
      </c>
      <c r="G118" s="75" t="s">
        <v>265</v>
      </c>
      <c r="H118" s="135"/>
    </row>
    <row r="119" spans="2:8" x14ac:dyDescent="0.25">
      <c r="B119" s="73">
        <v>200</v>
      </c>
      <c r="C119" s="62" t="s">
        <v>812</v>
      </c>
      <c r="D119" s="131" t="s">
        <v>537</v>
      </c>
      <c r="E119" s="73" t="s">
        <v>706</v>
      </c>
      <c r="F119" s="67" t="s">
        <v>686</v>
      </c>
      <c r="G119" s="73" t="s">
        <v>265</v>
      </c>
      <c r="H119" s="136"/>
    </row>
    <row r="120" spans="2:8" x14ac:dyDescent="0.25">
      <c r="B120" s="75">
        <v>200</v>
      </c>
      <c r="C120" s="54" t="s">
        <v>813</v>
      </c>
      <c r="D120" s="129" t="s">
        <v>557</v>
      </c>
      <c r="E120" s="75" t="s">
        <v>706</v>
      </c>
      <c r="F120" s="64" t="s">
        <v>686</v>
      </c>
      <c r="G120" s="75" t="s">
        <v>265</v>
      </c>
      <c r="H120" s="135"/>
    </row>
    <row r="121" spans="2:8" x14ac:dyDescent="0.25">
      <c r="B121" s="73">
        <v>200</v>
      </c>
      <c r="C121" s="62" t="s">
        <v>814</v>
      </c>
      <c r="D121" s="131" t="s">
        <v>557</v>
      </c>
      <c r="E121" s="73" t="s">
        <v>706</v>
      </c>
      <c r="F121" s="67" t="s">
        <v>686</v>
      </c>
      <c r="G121" s="73" t="s">
        <v>265</v>
      </c>
      <c r="H121" s="136"/>
    </row>
    <row r="122" spans="2:8" x14ac:dyDescent="0.25">
      <c r="B122" s="75">
        <v>200</v>
      </c>
      <c r="C122" s="54" t="s">
        <v>815</v>
      </c>
      <c r="D122" s="129" t="s">
        <v>557</v>
      </c>
      <c r="E122" s="75" t="s">
        <v>706</v>
      </c>
      <c r="F122" s="64" t="s">
        <v>686</v>
      </c>
      <c r="G122" s="75" t="s">
        <v>265</v>
      </c>
      <c r="H122" s="135"/>
    </row>
    <row r="123" spans="2:8" x14ac:dyDescent="0.25">
      <c r="B123" s="73">
        <v>200</v>
      </c>
      <c r="C123" s="62" t="s">
        <v>816</v>
      </c>
      <c r="D123" s="131" t="s">
        <v>557</v>
      </c>
      <c r="E123" s="73" t="s">
        <v>706</v>
      </c>
      <c r="F123" s="67" t="s">
        <v>686</v>
      </c>
      <c r="G123" s="73" t="s">
        <v>265</v>
      </c>
      <c r="H123" s="136"/>
    </row>
    <row r="124" spans="2:8" x14ac:dyDescent="0.25">
      <c r="B124" s="75">
        <v>200</v>
      </c>
      <c r="C124" s="54" t="s">
        <v>817</v>
      </c>
      <c r="D124" s="129" t="s">
        <v>557</v>
      </c>
      <c r="E124" s="75" t="s">
        <v>706</v>
      </c>
      <c r="F124" s="64" t="s">
        <v>686</v>
      </c>
      <c r="G124" s="75" t="s">
        <v>265</v>
      </c>
      <c r="H124" s="135"/>
    </row>
    <row r="125" spans="2:8" x14ac:dyDescent="0.25">
      <c r="B125" s="73">
        <v>200</v>
      </c>
      <c r="C125" s="62" t="s">
        <v>818</v>
      </c>
      <c r="D125" s="131" t="s">
        <v>557</v>
      </c>
      <c r="E125" s="73" t="s">
        <v>706</v>
      </c>
      <c r="F125" s="67" t="s">
        <v>686</v>
      </c>
      <c r="G125" s="73" t="s">
        <v>265</v>
      </c>
      <c r="H125" s="136"/>
    </row>
    <row r="126" spans="2:8" x14ac:dyDescent="0.25">
      <c r="B126" s="75">
        <v>200</v>
      </c>
      <c r="C126" s="54" t="s">
        <v>819</v>
      </c>
      <c r="D126" s="129" t="s">
        <v>557</v>
      </c>
      <c r="E126" s="75" t="s">
        <v>706</v>
      </c>
      <c r="F126" s="64" t="s">
        <v>686</v>
      </c>
      <c r="G126" s="75" t="s">
        <v>265</v>
      </c>
      <c r="H126" s="135"/>
    </row>
    <row r="127" spans="2:8" x14ac:dyDescent="0.25">
      <c r="B127" s="73">
        <v>200</v>
      </c>
      <c r="C127" s="62" t="s">
        <v>820</v>
      </c>
      <c r="D127" s="131" t="s">
        <v>557</v>
      </c>
      <c r="E127" s="73" t="s">
        <v>706</v>
      </c>
      <c r="F127" s="67" t="s">
        <v>686</v>
      </c>
      <c r="G127" s="73" t="s">
        <v>265</v>
      </c>
      <c r="H127" s="136"/>
    </row>
    <row r="128" spans="2:8" x14ac:dyDescent="0.25">
      <c r="B128" s="75">
        <v>200</v>
      </c>
      <c r="C128" s="54" t="s">
        <v>821</v>
      </c>
      <c r="D128" s="129" t="s">
        <v>557</v>
      </c>
      <c r="E128" s="75" t="s">
        <v>706</v>
      </c>
      <c r="F128" s="64" t="s">
        <v>686</v>
      </c>
      <c r="G128" s="75" t="s">
        <v>265</v>
      </c>
      <c r="H128" s="135"/>
    </row>
    <row r="129" spans="2:8" x14ac:dyDescent="0.25">
      <c r="B129" s="73">
        <v>200</v>
      </c>
      <c r="C129" s="62" t="s">
        <v>822</v>
      </c>
      <c r="D129" s="131" t="s">
        <v>557</v>
      </c>
      <c r="E129" s="73" t="s">
        <v>706</v>
      </c>
      <c r="F129" s="67" t="s">
        <v>686</v>
      </c>
      <c r="G129" s="73" t="s">
        <v>265</v>
      </c>
      <c r="H129" s="136"/>
    </row>
    <row r="130" spans="2:8" x14ac:dyDescent="0.25">
      <c r="B130" s="75">
        <v>200</v>
      </c>
      <c r="C130" s="54" t="s">
        <v>823</v>
      </c>
      <c r="D130" s="129" t="s">
        <v>557</v>
      </c>
      <c r="E130" s="75" t="s">
        <v>706</v>
      </c>
      <c r="F130" s="64" t="s">
        <v>686</v>
      </c>
      <c r="G130" s="75" t="s">
        <v>265</v>
      </c>
      <c r="H130" s="135"/>
    </row>
    <row r="131" spans="2:8" x14ac:dyDescent="0.25">
      <c r="B131" s="73">
        <v>200</v>
      </c>
      <c r="C131" s="62" t="s">
        <v>824</v>
      </c>
      <c r="D131" s="131" t="s">
        <v>557</v>
      </c>
      <c r="E131" s="73" t="s">
        <v>706</v>
      </c>
      <c r="F131" s="67" t="s">
        <v>686</v>
      </c>
      <c r="G131" s="73" t="s">
        <v>265</v>
      </c>
      <c r="H131" s="136"/>
    </row>
    <row r="132" spans="2:8" x14ac:dyDescent="0.25">
      <c r="B132" s="75">
        <v>200</v>
      </c>
      <c r="C132" s="54" t="s">
        <v>825</v>
      </c>
      <c r="D132" s="129" t="s">
        <v>557</v>
      </c>
      <c r="E132" s="75" t="s">
        <v>706</v>
      </c>
      <c r="F132" s="64" t="s">
        <v>686</v>
      </c>
      <c r="G132" s="75" t="s">
        <v>265</v>
      </c>
      <c r="H132" s="135"/>
    </row>
    <row r="133" spans="2:8" x14ac:dyDescent="0.25">
      <c r="B133" s="73">
        <v>200</v>
      </c>
      <c r="C133" s="62" t="s">
        <v>826</v>
      </c>
      <c r="D133" s="131" t="s">
        <v>557</v>
      </c>
      <c r="E133" s="73" t="s">
        <v>706</v>
      </c>
      <c r="F133" s="67" t="s">
        <v>686</v>
      </c>
      <c r="G133" s="73" t="s">
        <v>265</v>
      </c>
      <c r="H133" s="136"/>
    </row>
    <row r="134" spans="2:8" x14ac:dyDescent="0.25">
      <c r="B134" s="75">
        <v>200</v>
      </c>
      <c r="C134" s="54" t="s">
        <v>827</v>
      </c>
      <c r="D134" s="129" t="s">
        <v>559</v>
      </c>
      <c r="E134" s="75" t="s">
        <v>706</v>
      </c>
      <c r="F134" s="64" t="s">
        <v>686</v>
      </c>
      <c r="G134" s="75" t="s">
        <v>265</v>
      </c>
      <c r="H134" s="135"/>
    </row>
    <row r="135" spans="2:8" x14ac:dyDescent="0.25">
      <c r="B135" s="73">
        <v>200</v>
      </c>
      <c r="C135" s="62" t="s">
        <v>828</v>
      </c>
      <c r="D135" s="131" t="s">
        <v>559</v>
      </c>
      <c r="E135" s="73" t="s">
        <v>706</v>
      </c>
      <c r="F135" s="67" t="s">
        <v>686</v>
      </c>
      <c r="G135" s="73" t="s">
        <v>265</v>
      </c>
      <c r="H135" s="136"/>
    </row>
    <row r="136" spans="2:8" x14ac:dyDescent="0.25">
      <c r="B136" s="75">
        <v>200</v>
      </c>
      <c r="C136" s="54" t="s">
        <v>829</v>
      </c>
      <c r="D136" s="129" t="s">
        <v>559</v>
      </c>
      <c r="E136" s="75" t="s">
        <v>706</v>
      </c>
      <c r="F136" s="64" t="s">
        <v>686</v>
      </c>
      <c r="G136" s="75" t="s">
        <v>265</v>
      </c>
      <c r="H136" s="135"/>
    </row>
    <row r="137" spans="2:8" x14ac:dyDescent="0.25">
      <c r="B137" s="73">
        <v>200</v>
      </c>
      <c r="C137" s="62" t="s">
        <v>830</v>
      </c>
      <c r="D137" s="131" t="s">
        <v>559</v>
      </c>
      <c r="E137" s="73" t="s">
        <v>706</v>
      </c>
      <c r="F137" s="67" t="s">
        <v>686</v>
      </c>
      <c r="G137" s="73" t="s">
        <v>265</v>
      </c>
      <c r="H137" s="136"/>
    </row>
    <row r="138" spans="2:8" x14ac:dyDescent="0.25">
      <c r="B138" s="75">
        <v>200</v>
      </c>
      <c r="C138" s="54" t="s">
        <v>831</v>
      </c>
      <c r="D138" s="129" t="s">
        <v>563</v>
      </c>
      <c r="E138" s="75" t="s">
        <v>706</v>
      </c>
      <c r="F138" s="64" t="s">
        <v>686</v>
      </c>
      <c r="G138" s="75" t="s">
        <v>265</v>
      </c>
      <c r="H138" s="135"/>
    </row>
    <row r="139" spans="2:8" x14ac:dyDescent="0.25">
      <c r="B139" s="73">
        <v>200</v>
      </c>
      <c r="C139" s="62" t="s">
        <v>832</v>
      </c>
      <c r="D139" s="131" t="s">
        <v>565</v>
      </c>
      <c r="E139" s="73" t="s">
        <v>706</v>
      </c>
      <c r="F139" s="67" t="s">
        <v>686</v>
      </c>
      <c r="G139" s="73" t="s">
        <v>265</v>
      </c>
      <c r="H139" s="136"/>
    </row>
    <row r="140" spans="2:8" x14ac:dyDescent="0.25">
      <c r="B140" s="75">
        <v>200</v>
      </c>
      <c r="C140" s="54" t="s">
        <v>833</v>
      </c>
      <c r="D140" s="129" t="s">
        <v>565</v>
      </c>
      <c r="E140" s="75" t="s">
        <v>706</v>
      </c>
      <c r="F140" s="64" t="s">
        <v>686</v>
      </c>
      <c r="G140" s="75" t="s">
        <v>265</v>
      </c>
      <c r="H140" s="135"/>
    </row>
    <row r="141" spans="2:8" x14ac:dyDescent="0.25">
      <c r="B141" s="73">
        <v>200</v>
      </c>
      <c r="C141" s="62" t="s">
        <v>834</v>
      </c>
      <c r="D141" s="131" t="s">
        <v>565</v>
      </c>
      <c r="E141" s="73" t="s">
        <v>706</v>
      </c>
      <c r="F141" s="67" t="s">
        <v>686</v>
      </c>
      <c r="G141" s="73" t="s">
        <v>265</v>
      </c>
      <c r="H141" s="136"/>
    </row>
    <row r="142" spans="2:8" x14ac:dyDescent="0.25">
      <c r="B142" s="75">
        <v>200</v>
      </c>
      <c r="C142" s="54" t="s">
        <v>835</v>
      </c>
      <c r="D142" s="129" t="s">
        <v>566</v>
      </c>
      <c r="E142" s="75" t="s">
        <v>706</v>
      </c>
      <c r="F142" s="64" t="s">
        <v>686</v>
      </c>
      <c r="G142" s="75" t="s">
        <v>265</v>
      </c>
      <c r="H142" s="135"/>
    </row>
    <row r="143" spans="2:8" x14ac:dyDescent="0.25">
      <c r="B143" s="73">
        <v>200</v>
      </c>
      <c r="C143" s="62" t="s">
        <v>836</v>
      </c>
      <c r="D143" s="131" t="s">
        <v>566</v>
      </c>
      <c r="E143" s="73" t="s">
        <v>706</v>
      </c>
      <c r="F143" s="67" t="s">
        <v>686</v>
      </c>
      <c r="G143" s="73" t="s">
        <v>265</v>
      </c>
      <c r="H143" s="136"/>
    </row>
    <row r="144" spans="2:8" x14ac:dyDescent="0.25">
      <c r="B144" s="75">
        <v>200</v>
      </c>
      <c r="C144" s="54" t="s">
        <v>837</v>
      </c>
      <c r="D144" s="129" t="s">
        <v>566</v>
      </c>
      <c r="E144" s="75" t="s">
        <v>706</v>
      </c>
      <c r="F144" s="64" t="s">
        <v>686</v>
      </c>
      <c r="G144" s="75" t="s">
        <v>265</v>
      </c>
      <c r="H144" s="135"/>
    </row>
    <row r="145" spans="2:8" x14ac:dyDescent="0.25">
      <c r="B145" s="73">
        <v>200</v>
      </c>
      <c r="C145" s="62" t="s">
        <v>838</v>
      </c>
      <c r="D145" s="131" t="s">
        <v>566</v>
      </c>
      <c r="E145" s="73" t="s">
        <v>706</v>
      </c>
      <c r="F145" s="67" t="s">
        <v>686</v>
      </c>
      <c r="G145" s="73" t="s">
        <v>265</v>
      </c>
      <c r="H145" s="136"/>
    </row>
    <row r="146" spans="2:8" x14ac:dyDescent="0.25">
      <c r="B146" s="75">
        <v>200</v>
      </c>
      <c r="C146" s="54" t="s">
        <v>839</v>
      </c>
      <c r="D146" s="129" t="s">
        <v>566</v>
      </c>
      <c r="E146" s="75" t="s">
        <v>706</v>
      </c>
      <c r="F146" s="64" t="s">
        <v>686</v>
      </c>
      <c r="G146" s="75" t="s">
        <v>265</v>
      </c>
      <c r="H146" s="135"/>
    </row>
    <row r="147" spans="2:8" x14ac:dyDescent="0.25">
      <c r="B147" s="73">
        <v>200</v>
      </c>
      <c r="C147" s="62" t="s">
        <v>840</v>
      </c>
      <c r="D147" s="131" t="s">
        <v>587</v>
      </c>
      <c r="E147" s="73" t="s">
        <v>706</v>
      </c>
      <c r="F147" s="67" t="s">
        <v>686</v>
      </c>
      <c r="G147" s="73" t="s">
        <v>265</v>
      </c>
      <c r="H147" s="136"/>
    </row>
    <row r="148" spans="2:8" x14ac:dyDescent="0.25">
      <c r="B148" s="75">
        <v>200</v>
      </c>
      <c r="C148" s="54" t="s">
        <v>841</v>
      </c>
      <c r="D148" s="129" t="s">
        <v>587</v>
      </c>
      <c r="E148" s="75" t="s">
        <v>706</v>
      </c>
      <c r="F148" s="64" t="s">
        <v>686</v>
      </c>
      <c r="G148" s="75" t="s">
        <v>265</v>
      </c>
      <c r="H148" s="135"/>
    </row>
    <row r="149" spans="2:8" x14ac:dyDescent="0.25">
      <c r="B149" s="73">
        <v>200</v>
      </c>
      <c r="C149" s="62" t="s">
        <v>842</v>
      </c>
      <c r="D149" s="131" t="s">
        <v>587</v>
      </c>
      <c r="E149" s="73" t="s">
        <v>706</v>
      </c>
      <c r="F149" s="67" t="s">
        <v>686</v>
      </c>
      <c r="G149" s="73" t="s">
        <v>265</v>
      </c>
      <c r="H149" s="136"/>
    </row>
    <row r="150" spans="2:8" x14ac:dyDescent="0.25">
      <c r="B150" s="75">
        <v>200</v>
      </c>
      <c r="C150" s="54" t="s">
        <v>843</v>
      </c>
      <c r="D150" s="129" t="s">
        <v>587</v>
      </c>
      <c r="E150" s="75" t="s">
        <v>706</v>
      </c>
      <c r="F150" s="64" t="s">
        <v>686</v>
      </c>
      <c r="G150" s="75" t="s">
        <v>265</v>
      </c>
      <c r="H150" s="135"/>
    </row>
    <row r="151" spans="2:8" x14ac:dyDescent="0.25">
      <c r="B151" s="73">
        <v>200</v>
      </c>
      <c r="C151" s="62" t="s">
        <v>844</v>
      </c>
      <c r="D151" s="131" t="s">
        <v>587</v>
      </c>
      <c r="E151" s="73" t="s">
        <v>706</v>
      </c>
      <c r="F151" s="67" t="s">
        <v>686</v>
      </c>
      <c r="G151" s="73" t="s">
        <v>265</v>
      </c>
      <c r="H151" s="136"/>
    </row>
    <row r="152" spans="2:8" x14ac:dyDescent="0.25">
      <c r="B152" s="75">
        <v>200</v>
      </c>
      <c r="C152" s="54" t="s">
        <v>845</v>
      </c>
      <c r="D152" s="129" t="s">
        <v>587</v>
      </c>
      <c r="E152" s="75" t="s">
        <v>706</v>
      </c>
      <c r="F152" s="64" t="s">
        <v>686</v>
      </c>
      <c r="G152" s="75" t="s">
        <v>265</v>
      </c>
      <c r="H152" s="135" t="s">
        <v>846</v>
      </c>
    </row>
    <row r="153" spans="2:8" x14ac:dyDescent="0.25">
      <c r="B153" s="73">
        <v>200</v>
      </c>
      <c r="C153" s="62" t="s">
        <v>847</v>
      </c>
      <c r="D153" s="131" t="s">
        <v>587</v>
      </c>
      <c r="E153" s="73" t="s">
        <v>706</v>
      </c>
      <c r="F153" s="67" t="s">
        <v>686</v>
      </c>
      <c r="G153" s="73" t="s">
        <v>265</v>
      </c>
      <c r="H153" s="136" t="s">
        <v>848</v>
      </c>
    </row>
    <row r="154" spans="2:8" x14ac:dyDescent="0.25">
      <c r="B154" s="75">
        <v>200</v>
      </c>
      <c r="C154" s="54" t="s">
        <v>849</v>
      </c>
      <c r="D154" s="129" t="s">
        <v>587</v>
      </c>
      <c r="E154" s="75" t="s">
        <v>706</v>
      </c>
      <c r="F154" s="64" t="s">
        <v>686</v>
      </c>
      <c r="G154" s="75" t="s">
        <v>265</v>
      </c>
      <c r="H154" s="135" t="s">
        <v>850</v>
      </c>
    </row>
    <row r="155" spans="2:8" x14ac:dyDescent="0.25">
      <c r="B155" s="73">
        <v>200</v>
      </c>
      <c r="C155" s="62" t="s">
        <v>851</v>
      </c>
      <c r="D155" s="131" t="s">
        <v>587</v>
      </c>
      <c r="E155" s="73" t="s">
        <v>706</v>
      </c>
      <c r="F155" s="67" t="s">
        <v>686</v>
      </c>
      <c r="G155" s="73" t="s">
        <v>265</v>
      </c>
      <c r="H155" s="136" t="s">
        <v>852</v>
      </c>
    </row>
    <row r="156" spans="2:8" x14ac:dyDescent="0.25">
      <c r="B156" s="75">
        <v>200</v>
      </c>
      <c r="C156" s="54" t="s">
        <v>853</v>
      </c>
      <c r="D156" s="129" t="s">
        <v>591</v>
      </c>
      <c r="E156" s="75" t="s">
        <v>706</v>
      </c>
      <c r="F156" s="64" t="s">
        <v>686</v>
      </c>
      <c r="G156" s="75" t="s">
        <v>265</v>
      </c>
      <c r="H156" s="135"/>
    </row>
    <row r="157" spans="2:8" x14ac:dyDescent="0.25">
      <c r="B157" s="73">
        <v>200</v>
      </c>
      <c r="C157" s="62" t="s">
        <v>854</v>
      </c>
      <c r="D157" s="131" t="s">
        <v>593</v>
      </c>
      <c r="E157" s="73" t="s">
        <v>706</v>
      </c>
      <c r="F157" s="67" t="s">
        <v>686</v>
      </c>
      <c r="G157" s="73" t="s">
        <v>265</v>
      </c>
      <c r="H157" s="136"/>
    </row>
    <row r="158" spans="2:8" x14ac:dyDescent="0.25">
      <c r="B158" s="75">
        <v>200</v>
      </c>
      <c r="C158" s="54" t="s">
        <v>855</v>
      </c>
      <c r="D158" s="129" t="s">
        <v>593</v>
      </c>
      <c r="E158" s="75" t="s">
        <v>706</v>
      </c>
      <c r="F158" s="64" t="s">
        <v>686</v>
      </c>
      <c r="G158" s="75" t="s">
        <v>265</v>
      </c>
      <c r="H158" s="135"/>
    </row>
    <row r="159" spans="2:8" x14ac:dyDescent="0.25">
      <c r="B159" s="73">
        <v>200</v>
      </c>
      <c r="C159" s="62" t="s">
        <v>856</v>
      </c>
      <c r="D159" s="131" t="s">
        <v>593</v>
      </c>
      <c r="E159" s="73" t="s">
        <v>706</v>
      </c>
      <c r="F159" s="67" t="s">
        <v>686</v>
      </c>
      <c r="G159" s="73" t="s">
        <v>265</v>
      </c>
      <c r="H159" s="136"/>
    </row>
    <row r="160" spans="2:8" x14ac:dyDescent="0.25">
      <c r="B160" s="75">
        <v>200</v>
      </c>
      <c r="C160" s="54" t="s">
        <v>857</v>
      </c>
      <c r="D160" s="129" t="s">
        <v>593</v>
      </c>
      <c r="E160" s="75" t="s">
        <v>706</v>
      </c>
      <c r="F160" s="64" t="s">
        <v>686</v>
      </c>
      <c r="G160" s="75" t="s">
        <v>265</v>
      </c>
      <c r="H160" s="135"/>
    </row>
    <row r="161" spans="2:8" x14ac:dyDescent="0.25">
      <c r="B161" s="73">
        <v>200</v>
      </c>
      <c r="C161" s="62" t="s">
        <v>858</v>
      </c>
      <c r="D161" s="131" t="s">
        <v>593</v>
      </c>
      <c r="E161" s="73" t="s">
        <v>706</v>
      </c>
      <c r="F161" s="67" t="s">
        <v>686</v>
      </c>
      <c r="G161" s="73" t="s">
        <v>265</v>
      </c>
      <c r="H161" s="136"/>
    </row>
    <row r="162" spans="2:8" x14ac:dyDescent="0.25">
      <c r="B162" s="75">
        <v>200</v>
      </c>
      <c r="C162" s="54" t="s">
        <v>859</v>
      </c>
      <c r="D162" s="129" t="s">
        <v>593</v>
      </c>
      <c r="E162" s="75" t="s">
        <v>706</v>
      </c>
      <c r="F162" s="64" t="s">
        <v>686</v>
      </c>
      <c r="G162" s="75" t="s">
        <v>265</v>
      </c>
      <c r="H162" s="135"/>
    </row>
    <row r="163" spans="2:8" x14ac:dyDescent="0.25">
      <c r="B163" s="73">
        <v>200</v>
      </c>
      <c r="C163" s="62" t="s">
        <v>860</v>
      </c>
      <c r="D163" s="131" t="s">
        <v>593</v>
      </c>
      <c r="E163" s="73" t="s">
        <v>706</v>
      </c>
      <c r="F163" s="67" t="s">
        <v>686</v>
      </c>
      <c r="G163" s="73" t="s">
        <v>265</v>
      </c>
      <c r="H163" s="136"/>
    </row>
    <row r="164" spans="2:8" x14ac:dyDescent="0.25">
      <c r="B164" s="75">
        <v>200</v>
      </c>
      <c r="C164" s="54" t="s">
        <v>861</v>
      </c>
      <c r="D164" s="129" t="s">
        <v>594</v>
      </c>
      <c r="E164" s="75" t="s">
        <v>706</v>
      </c>
      <c r="F164" s="64" t="s">
        <v>686</v>
      </c>
      <c r="G164" s="75" t="s">
        <v>265</v>
      </c>
      <c r="H164" s="135"/>
    </row>
    <row r="165" spans="2:8" x14ac:dyDescent="0.25">
      <c r="B165" s="73">
        <v>200</v>
      </c>
      <c r="C165" s="62" t="s">
        <v>862</v>
      </c>
      <c r="D165" s="131" t="s">
        <v>594</v>
      </c>
      <c r="E165" s="73" t="s">
        <v>706</v>
      </c>
      <c r="F165" s="67" t="s">
        <v>686</v>
      </c>
      <c r="G165" s="73" t="s">
        <v>265</v>
      </c>
      <c r="H165" s="136"/>
    </row>
    <row r="166" spans="2:8" x14ac:dyDescent="0.25">
      <c r="B166" s="75">
        <v>200</v>
      </c>
      <c r="C166" s="54" t="s">
        <v>863</v>
      </c>
      <c r="D166" s="129" t="s">
        <v>595</v>
      </c>
      <c r="E166" s="75" t="s">
        <v>706</v>
      </c>
      <c r="F166" s="64" t="s">
        <v>686</v>
      </c>
      <c r="G166" s="75" t="s">
        <v>265</v>
      </c>
      <c r="H166" s="135"/>
    </row>
    <row r="167" spans="2:8" x14ac:dyDescent="0.25">
      <c r="B167" s="73">
        <v>200</v>
      </c>
      <c r="C167" s="62" t="s">
        <v>864</v>
      </c>
      <c r="D167" s="131" t="s">
        <v>595</v>
      </c>
      <c r="E167" s="73" t="s">
        <v>706</v>
      </c>
      <c r="F167" s="67" t="s">
        <v>686</v>
      </c>
      <c r="G167" s="73" t="s">
        <v>265</v>
      </c>
      <c r="H167" s="136"/>
    </row>
    <row r="168" spans="2:8" x14ac:dyDescent="0.25">
      <c r="B168" s="75">
        <v>200</v>
      </c>
      <c r="C168" s="54" t="s">
        <v>865</v>
      </c>
      <c r="D168" s="129" t="s">
        <v>596</v>
      </c>
      <c r="E168" s="75" t="s">
        <v>706</v>
      </c>
      <c r="F168" s="64" t="s">
        <v>686</v>
      </c>
      <c r="G168" s="75" t="s">
        <v>265</v>
      </c>
      <c r="H168" s="135"/>
    </row>
    <row r="169" spans="2:8" x14ac:dyDescent="0.25">
      <c r="B169" s="73">
        <v>200</v>
      </c>
      <c r="C169" s="62" t="s">
        <v>866</v>
      </c>
      <c r="D169" s="131" t="s">
        <v>596</v>
      </c>
      <c r="E169" s="73" t="s">
        <v>706</v>
      </c>
      <c r="F169" s="67" t="s">
        <v>686</v>
      </c>
      <c r="G169" s="73" t="s">
        <v>265</v>
      </c>
      <c r="H169" s="136"/>
    </row>
    <row r="170" spans="2:8" x14ac:dyDescent="0.25">
      <c r="B170" s="75">
        <v>200</v>
      </c>
      <c r="C170" s="54" t="s">
        <v>867</v>
      </c>
      <c r="D170" s="129" t="s">
        <v>596</v>
      </c>
      <c r="E170" s="75" t="s">
        <v>706</v>
      </c>
      <c r="F170" s="64" t="s">
        <v>686</v>
      </c>
      <c r="G170" s="75" t="s">
        <v>265</v>
      </c>
      <c r="H170" s="135"/>
    </row>
    <row r="171" spans="2:8" x14ac:dyDescent="0.25">
      <c r="B171" s="73">
        <v>200</v>
      </c>
      <c r="C171" s="62" t="s">
        <v>868</v>
      </c>
      <c r="D171" s="131" t="s">
        <v>596</v>
      </c>
      <c r="E171" s="73" t="s">
        <v>706</v>
      </c>
      <c r="F171" s="67" t="s">
        <v>686</v>
      </c>
      <c r="G171" s="73" t="s">
        <v>265</v>
      </c>
      <c r="H171" s="136"/>
    </row>
    <row r="172" spans="2:8" x14ac:dyDescent="0.25">
      <c r="B172" s="75">
        <v>200</v>
      </c>
      <c r="C172" s="54" t="s">
        <v>869</v>
      </c>
      <c r="D172" s="129" t="s">
        <v>596</v>
      </c>
      <c r="E172" s="75" t="s">
        <v>706</v>
      </c>
      <c r="F172" s="64" t="s">
        <v>686</v>
      </c>
      <c r="G172" s="75" t="s">
        <v>265</v>
      </c>
      <c r="H172" s="135"/>
    </row>
    <row r="173" spans="2:8" x14ac:dyDescent="0.25">
      <c r="B173" s="73">
        <v>200</v>
      </c>
      <c r="C173" s="62" t="s">
        <v>870</v>
      </c>
      <c r="D173" s="131" t="s">
        <v>596</v>
      </c>
      <c r="E173" s="73" t="s">
        <v>706</v>
      </c>
      <c r="F173" s="67" t="s">
        <v>686</v>
      </c>
      <c r="G173" s="73" t="s">
        <v>265</v>
      </c>
      <c r="H173" s="136"/>
    </row>
    <row r="174" spans="2:8" x14ac:dyDescent="0.25">
      <c r="B174" s="75">
        <v>200</v>
      </c>
      <c r="C174" s="54" t="s">
        <v>871</v>
      </c>
      <c r="D174" s="129" t="s">
        <v>596</v>
      </c>
      <c r="E174" s="75" t="s">
        <v>706</v>
      </c>
      <c r="F174" s="64" t="s">
        <v>686</v>
      </c>
      <c r="G174" s="75" t="s">
        <v>265</v>
      </c>
      <c r="H174" s="135"/>
    </row>
    <row r="175" spans="2:8" x14ac:dyDescent="0.25">
      <c r="B175" s="73">
        <v>200</v>
      </c>
      <c r="C175" s="62" t="s">
        <v>872</v>
      </c>
      <c r="D175" s="131" t="s">
        <v>596</v>
      </c>
      <c r="E175" s="73" t="s">
        <v>706</v>
      </c>
      <c r="F175" s="67" t="s">
        <v>686</v>
      </c>
      <c r="G175" s="73" t="s">
        <v>265</v>
      </c>
      <c r="H175" s="136"/>
    </row>
    <row r="176" spans="2:8" x14ac:dyDescent="0.25">
      <c r="B176" s="75">
        <v>200</v>
      </c>
      <c r="C176" s="54" t="s">
        <v>873</v>
      </c>
      <c r="D176" s="129" t="s">
        <v>596</v>
      </c>
      <c r="E176" s="75" t="s">
        <v>706</v>
      </c>
      <c r="F176" s="64" t="s">
        <v>686</v>
      </c>
      <c r="G176" s="75" t="s">
        <v>265</v>
      </c>
      <c r="H176" s="135"/>
    </row>
    <row r="177" spans="2:8" x14ac:dyDescent="0.25">
      <c r="B177" s="73">
        <v>200</v>
      </c>
      <c r="C177" s="62" t="s">
        <v>874</v>
      </c>
      <c r="D177" s="131" t="s">
        <v>596</v>
      </c>
      <c r="E177" s="73" t="s">
        <v>706</v>
      </c>
      <c r="F177" s="67" t="s">
        <v>686</v>
      </c>
      <c r="G177" s="73" t="s">
        <v>265</v>
      </c>
      <c r="H177" s="136"/>
    </row>
    <row r="178" spans="2:8" x14ac:dyDescent="0.25">
      <c r="B178" s="75">
        <v>200</v>
      </c>
      <c r="C178" s="54" t="s">
        <v>875</v>
      </c>
      <c r="D178" s="129" t="s">
        <v>596</v>
      </c>
      <c r="E178" s="75" t="s">
        <v>706</v>
      </c>
      <c r="F178" s="64" t="s">
        <v>686</v>
      </c>
      <c r="G178" s="75" t="s">
        <v>265</v>
      </c>
      <c r="H178" s="135"/>
    </row>
    <row r="179" spans="2:8" x14ac:dyDescent="0.25">
      <c r="B179" s="73">
        <v>200</v>
      </c>
      <c r="C179" s="62" t="s">
        <v>876</v>
      </c>
      <c r="D179" s="131" t="s">
        <v>596</v>
      </c>
      <c r="E179" s="73" t="s">
        <v>706</v>
      </c>
      <c r="F179" s="67" t="s">
        <v>686</v>
      </c>
      <c r="G179" s="73" t="s">
        <v>265</v>
      </c>
      <c r="H179" s="136"/>
    </row>
    <row r="180" spans="2:8" x14ac:dyDescent="0.25">
      <c r="B180" s="75">
        <v>200</v>
      </c>
      <c r="C180" s="54" t="s">
        <v>877</v>
      </c>
      <c r="D180" s="129" t="s">
        <v>596</v>
      </c>
      <c r="E180" s="75" t="s">
        <v>706</v>
      </c>
      <c r="F180" s="64" t="s">
        <v>686</v>
      </c>
      <c r="G180" s="75" t="s">
        <v>265</v>
      </c>
      <c r="H180" s="135"/>
    </row>
    <row r="181" spans="2:8" x14ac:dyDescent="0.25">
      <c r="B181" s="73">
        <v>200</v>
      </c>
      <c r="C181" s="62" t="s">
        <v>878</v>
      </c>
      <c r="D181" s="131" t="s">
        <v>596</v>
      </c>
      <c r="E181" s="73" t="s">
        <v>706</v>
      </c>
      <c r="F181" s="67" t="s">
        <v>686</v>
      </c>
      <c r="G181" s="73" t="s">
        <v>265</v>
      </c>
      <c r="H181" s="136"/>
    </row>
    <row r="182" spans="2:8" x14ac:dyDescent="0.25">
      <c r="B182" s="75">
        <v>200</v>
      </c>
      <c r="C182" s="54" t="s">
        <v>879</v>
      </c>
      <c r="D182" s="129" t="s">
        <v>597</v>
      </c>
      <c r="E182" s="75" t="s">
        <v>706</v>
      </c>
      <c r="F182" s="64" t="s">
        <v>686</v>
      </c>
      <c r="G182" s="75" t="s">
        <v>265</v>
      </c>
      <c r="H182" s="135"/>
    </row>
    <row r="183" spans="2:8" x14ac:dyDescent="0.25">
      <c r="B183" s="73">
        <v>200</v>
      </c>
      <c r="C183" s="62" t="s">
        <v>880</v>
      </c>
      <c r="D183" s="131" t="s">
        <v>597</v>
      </c>
      <c r="E183" s="73" t="s">
        <v>706</v>
      </c>
      <c r="F183" s="67" t="s">
        <v>686</v>
      </c>
      <c r="G183" s="73" t="s">
        <v>265</v>
      </c>
      <c r="H183" s="136"/>
    </row>
    <row r="184" spans="2:8" x14ac:dyDescent="0.25">
      <c r="B184" s="75">
        <v>200</v>
      </c>
      <c r="C184" s="54" t="s">
        <v>881</v>
      </c>
      <c r="D184" s="129" t="s">
        <v>598</v>
      </c>
      <c r="E184" s="75" t="s">
        <v>706</v>
      </c>
      <c r="F184" s="64" t="s">
        <v>686</v>
      </c>
      <c r="G184" s="75" t="s">
        <v>265</v>
      </c>
      <c r="H184" s="135"/>
    </row>
    <row r="185" spans="2:8" x14ac:dyDescent="0.25">
      <c r="B185" s="73">
        <v>200</v>
      </c>
      <c r="C185" s="62" t="s">
        <v>882</v>
      </c>
      <c r="D185" s="131" t="s">
        <v>599</v>
      </c>
      <c r="E185" s="73" t="s">
        <v>706</v>
      </c>
      <c r="F185" s="67" t="s">
        <v>686</v>
      </c>
      <c r="G185" s="73" t="s">
        <v>265</v>
      </c>
      <c r="H185" s="136" t="s">
        <v>883</v>
      </c>
    </row>
    <row r="186" spans="2:8" x14ac:dyDescent="0.25">
      <c r="B186" s="75">
        <v>200</v>
      </c>
      <c r="C186" s="54" t="s">
        <v>884</v>
      </c>
      <c r="D186" s="129" t="s">
        <v>599</v>
      </c>
      <c r="E186" s="75" t="s">
        <v>706</v>
      </c>
      <c r="F186" s="64" t="s">
        <v>686</v>
      </c>
      <c r="G186" s="75" t="s">
        <v>265</v>
      </c>
      <c r="H186" s="135" t="s">
        <v>883</v>
      </c>
    </row>
    <row r="187" spans="2:8" x14ac:dyDescent="0.25">
      <c r="B187" s="73">
        <v>200</v>
      </c>
      <c r="C187" s="62" t="s">
        <v>885</v>
      </c>
      <c r="D187" s="131" t="s">
        <v>601</v>
      </c>
      <c r="E187" s="73" t="s">
        <v>706</v>
      </c>
      <c r="F187" s="67" t="s">
        <v>686</v>
      </c>
      <c r="G187" s="73" t="s">
        <v>265</v>
      </c>
      <c r="H187" s="136"/>
    </row>
    <row r="188" spans="2:8" x14ac:dyDescent="0.25">
      <c r="B188" s="75">
        <v>200</v>
      </c>
      <c r="C188" s="54" t="s">
        <v>886</v>
      </c>
      <c r="D188" s="129" t="s">
        <v>601</v>
      </c>
      <c r="E188" s="75" t="s">
        <v>706</v>
      </c>
      <c r="F188" s="64" t="s">
        <v>686</v>
      </c>
      <c r="G188" s="75" t="s">
        <v>265</v>
      </c>
      <c r="H188" s="135"/>
    </row>
    <row r="189" spans="2:8" x14ac:dyDescent="0.25">
      <c r="B189" s="73">
        <v>200</v>
      </c>
      <c r="C189" s="62" t="s">
        <v>887</v>
      </c>
      <c r="D189" s="131" t="s">
        <v>543</v>
      </c>
      <c r="E189" s="73" t="s">
        <v>706</v>
      </c>
      <c r="F189" s="67" t="s">
        <v>686</v>
      </c>
      <c r="G189" s="73" t="s">
        <v>265</v>
      </c>
      <c r="H189" s="136"/>
    </row>
    <row r="190" spans="2:8" x14ac:dyDescent="0.25">
      <c r="B190" s="75">
        <v>200</v>
      </c>
      <c r="C190" s="54" t="s">
        <v>888</v>
      </c>
      <c r="D190" s="129" t="s">
        <v>543</v>
      </c>
      <c r="E190" s="75" t="s">
        <v>706</v>
      </c>
      <c r="F190" s="64" t="s">
        <v>686</v>
      </c>
      <c r="G190" s="75" t="s">
        <v>265</v>
      </c>
      <c r="H190" s="135"/>
    </row>
    <row r="191" spans="2:8" x14ac:dyDescent="0.25">
      <c r="B191" s="73">
        <v>200</v>
      </c>
      <c r="C191" s="62" t="s">
        <v>889</v>
      </c>
      <c r="D191" s="131" t="s">
        <v>543</v>
      </c>
      <c r="E191" s="73" t="s">
        <v>706</v>
      </c>
      <c r="F191" s="67" t="s">
        <v>686</v>
      </c>
      <c r="G191" s="73" t="s">
        <v>265</v>
      </c>
      <c r="H191" s="136"/>
    </row>
    <row r="192" spans="2:8" x14ac:dyDescent="0.25">
      <c r="B192" s="75">
        <v>200</v>
      </c>
      <c r="C192" s="54" t="s">
        <v>890</v>
      </c>
      <c r="D192" s="129" t="s">
        <v>546</v>
      </c>
      <c r="E192" s="75" t="s">
        <v>706</v>
      </c>
      <c r="F192" s="64" t="s">
        <v>686</v>
      </c>
      <c r="G192" s="75" t="s">
        <v>265</v>
      </c>
      <c r="H192" s="135"/>
    </row>
    <row r="193" spans="2:8" x14ac:dyDescent="0.25">
      <c r="B193" s="73">
        <v>200</v>
      </c>
      <c r="C193" s="62" t="s">
        <v>891</v>
      </c>
      <c r="D193" s="131" t="s">
        <v>546</v>
      </c>
      <c r="E193" s="73" t="s">
        <v>706</v>
      </c>
      <c r="F193" s="67" t="s">
        <v>686</v>
      </c>
      <c r="G193" s="73" t="s">
        <v>265</v>
      </c>
      <c r="H193" s="136"/>
    </row>
    <row r="194" spans="2:8" x14ac:dyDescent="0.25">
      <c r="B194" s="75">
        <v>200</v>
      </c>
      <c r="C194" s="54" t="s">
        <v>892</v>
      </c>
      <c r="D194" s="129" t="s">
        <v>546</v>
      </c>
      <c r="E194" s="75" t="s">
        <v>706</v>
      </c>
      <c r="F194" s="64" t="s">
        <v>686</v>
      </c>
      <c r="G194" s="75" t="s">
        <v>265</v>
      </c>
      <c r="H194" s="135"/>
    </row>
    <row r="195" spans="2:8" x14ac:dyDescent="0.25">
      <c r="B195" s="73">
        <v>200</v>
      </c>
      <c r="C195" s="62" t="s">
        <v>893</v>
      </c>
      <c r="D195" s="131" t="s">
        <v>546</v>
      </c>
      <c r="E195" s="73" t="s">
        <v>706</v>
      </c>
      <c r="F195" s="67" t="s">
        <v>686</v>
      </c>
      <c r="G195" s="73" t="s">
        <v>265</v>
      </c>
      <c r="H195" s="136"/>
    </row>
    <row r="196" spans="2:8" x14ac:dyDescent="0.25">
      <c r="B196" s="75">
        <v>200</v>
      </c>
      <c r="C196" s="54" t="s">
        <v>894</v>
      </c>
      <c r="D196" s="129" t="s">
        <v>546</v>
      </c>
      <c r="E196" s="75" t="s">
        <v>706</v>
      </c>
      <c r="F196" s="64" t="s">
        <v>686</v>
      </c>
      <c r="G196" s="75" t="s">
        <v>265</v>
      </c>
      <c r="H196" s="135"/>
    </row>
    <row r="197" spans="2:8" x14ac:dyDescent="0.25">
      <c r="B197" s="73">
        <v>200</v>
      </c>
      <c r="C197" s="62" t="s">
        <v>895</v>
      </c>
      <c r="D197" s="131" t="s">
        <v>556</v>
      </c>
      <c r="E197" s="73" t="s">
        <v>706</v>
      </c>
      <c r="F197" s="67" t="s">
        <v>686</v>
      </c>
      <c r="G197" s="73" t="s">
        <v>265</v>
      </c>
      <c r="H197" s="136"/>
    </row>
    <row r="198" spans="2:8" x14ac:dyDescent="0.25">
      <c r="B198" s="75">
        <v>200</v>
      </c>
      <c r="C198" s="54" t="s">
        <v>896</v>
      </c>
      <c r="D198" s="129" t="s">
        <v>539</v>
      </c>
      <c r="E198" s="75" t="s">
        <v>706</v>
      </c>
      <c r="F198" s="64" t="s">
        <v>686</v>
      </c>
      <c r="G198" s="75" t="s">
        <v>265</v>
      </c>
      <c r="H198" s="135"/>
    </row>
    <row r="199" spans="2:8" x14ac:dyDescent="0.25">
      <c r="B199" s="73">
        <v>400</v>
      </c>
      <c r="C199" s="62" t="s">
        <v>897</v>
      </c>
      <c r="D199" s="131" t="s">
        <v>539</v>
      </c>
      <c r="E199" s="73" t="s">
        <v>706</v>
      </c>
      <c r="F199" s="67" t="s">
        <v>686</v>
      </c>
      <c r="G199" s="134" t="s">
        <v>282</v>
      </c>
      <c r="H199" s="136" t="s">
        <v>898</v>
      </c>
    </row>
    <row r="200" spans="2:8" x14ac:dyDescent="0.25">
      <c r="B200" s="75">
        <v>200</v>
      </c>
      <c r="C200" s="54" t="s">
        <v>899</v>
      </c>
      <c r="D200" s="129" t="s">
        <v>552</v>
      </c>
      <c r="E200" s="75" t="s">
        <v>706</v>
      </c>
      <c r="F200" s="64" t="s">
        <v>686</v>
      </c>
      <c r="G200" s="75" t="s">
        <v>265</v>
      </c>
      <c r="H200" s="135"/>
    </row>
    <row r="201" spans="2:8" x14ac:dyDescent="0.25">
      <c r="B201" s="73">
        <v>200</v>
      </c>
      <c r="C201" s="62" t="s">
        <v>900</v>
      </c>
      <c r="D201" s="131" t="s">
        <v>552</v>
      </c>
      <c r="E201" s="73" t="s">
        <v>706</v>
      </c>
      <c r="F201" s="67" t="s">
        <v>686</v>
      </c>
      <c r="G201" s="73" t="s">
        <v>265</v>
      </c>
      <c r="H201" s="136"/>
    </row>
    <row r="202" spans="2:8" x14ac:dyDescent="0.25">
      <c r="B202" s="75">
        <v>200</v>
      </c>
      <c r="C202" s="54" t="s">
        <v>901</v>
      </c>
      <c r="D202" s="129" t="s">
        <v>555</v>
      </c>
      <c r="E202" s="75" t="s">
        <v>706</v>
      </c>
      <c r="F202" s="64" t="s">
        <v>686</v>
      </c>
      <c r="G202" s="75" t="s">
        <v>265</v>
      </c>
      <c r="H202" s="135"/>
    </row>
    <row r="203" spans="2:8" x14ac:dyDescent="0.25">
      <c r="B203" s="73">
        <v>200</v>
      </c>
      <c r="C203" s="62" t="s">
        <v>902</v>
      </c>
      <c r="D203" s="131" t="s">
        <v>555</v>
      </c>
      <c r="E203" s="73" t="s">
        <v>706</v>
      </c>
      <c r="F203" s="67" t="s">
        <v>686</v>
      </c>
      <c r="G203" s="73" t="s">
        <v>265</v>
      </c>
      <c r="H203" s="136"/>
    </row>
    <row r="204" spans="2:8" x14ac:dyDescent="0.25">
      <c r="B204" s="75">
        <v>200</v>
      </c>
      <c r="C204" s="54" t="s">
        <v>903</v>
      </c>
      <c r="D204" s="129" t="s">
        <v>555</v>
      </c>
      <c r="E204" s="75" t="s">
        <v>706</v>
      </c>
      <c r="F204" s="64" t="s">
        <v>686</v>
      </c>
      <c r="G204" s="75" t="s">
        <v>265</v>
      </c>
      <c r="H204" s="135"/>
    </row>
    <row r="205" spans="2:8" x14ac:dyDescent="0.25">
      <c r="B205" s="73">
        <v>200</v>
      </c>
      <c r="C205" s="62" t="s">
        <v>904</v>
      </c>
      <c r="D205" s="131" t="s">
        <v>555</v>
      </c>
      <c r="E205" s="73" t="s">
        <v>706</v>
      </c>
      <c r="F205" s="67" t="s">
        <v>686</v>
      </c>
      <c r="G205" s="73" t="s">
        <v>265</v>
      </c>
      <c r="H205" s="136"/>
    </row>
    <row r="206" spans="2:8" x14ac:dyDescent="0.25">
      <c r="B206" s="75">
        <v>200</v>
      </c>
      <c r="C206" s="54" t="s">
        <v>905</v>
      </c>
      <c r="D206" s="129" t="s">
        <v>555</v>
      </c>
      <c r="E206" s="75" t="s">
        <v>706</v>
      </c>
      <c r="F206" s="64" t="s">
        <v>686</v>
      </c>
      <c r="G206" s="75" t="s">
        <v>265</v>
      </c>
      <c r="H206" s="135"/>
    </row>
    <row r="207" spans="2:8" x14ac:dyDescent="0.25">
      <c r="B207" s="73">
        <v>200</v>
      </c>
      <c r="C207" s="62" t="s">
        <v>906</v>
      </c>
      <c r="D207" s="131" t="s">
        <v>603</v>
      </c>
      <c r="E207" s="73" t="s">
        <v>706</v>
      </c>
      <c r="F207" s="67" t="s">
        <v>686</v>
      </c>
      <c r="G207" s="73" t="s">
        <v>265</v>
      </c>
      <c r="H207" s="136"/>
    </row>
    <row r="208" spans="2:8" x14ac:dyDescent="0.25">
      <c r="B208" s="75">
        <v>200</v>
      </c>
      <c r="C208" s="54" t="s">
        <v>907</v>
      </c>
      <c r="D208" s="129" t="s">
        <v>603</v>
      </c>
      <c r="E208" s="75" t="s">
        <v>706</v>
      </c>
      <c r="F208" s="64" t="s">
        <v>686</v>
      </c>
      <c r="G208" s="75" t="s">
        <v>265</v>
      </c>
      <c r="H208" s="135"/>
    </row>
    <row r="209" spans="2:8" x14ac:dyDescent="0.25">
      <c r="B209" s="73">
        <v>200</v>
      </c>
      <c r="C209" s="62" t="s">
        <v>908</v>
      </c>
      <c r="D209" s="131" t="s">
        <v>603</v>
      </c>
      <c r="E209" s="73" t="s">
        <v>706</v>
      </c>
      <c r="F209" s="67" t="s">
        <v>686</v>
      </c>
      <c r="G209" s="73" t="s">
        <v>265</v>
      </c>
      <c r="H209" s="136"/>
    </row>
    <row r="210" spans="2:8" x14ac:dyDescent="0.25">
      <c r="B210" s="75">
        <v>200</v>
      </c>
      <c r="C210" s="54" t="s">
        <v>909</v>
      </c>
      <c r="D210" s="129" t="s">
        <v>603</v>
      </c>
      <c r="E210" s="75" t="s">
        <v>706</v>
      </c>
      <c r="F210" s="64" t="s">
        <v>686</v>
      </c>
      <c r="G210" s="75" t="s">
        <v>265</v>
      </c>
      <c r="H210" s="135"/>
    </row>
    <row r="211" spans="2:8" x14ac:dyDescent="0.25">
      <c r="B211" s="73">
        <v>200</v>
      </c>
      <c r="C211" s="62" t="s">
        <v>910</v>
      </c>
      <c r="D211" s="131" t="s">
        <v>608</v>
      </c>
      <c r="E211" s="73" t="s">
        <v>706</v>
      </c>
      <c r="F211" s="67" t="s">
        <v>686</v>
      </c>
      <c r="G211" s="73" t="s">
        <v>265</v>
      </c>
      <c r="H211" s="136"/>
    </row>
    <row r="212" spans="2:8" x14ac:dyDescent="0.25">
      <c r="B212" s="75">
        <v>200</v>
      </c>
      <c r="C212" s="54" t="s">
        <v>911</v>
      </c>
      <c r="D212" s="129" t="s">
        <v>608</v>
      </c>
      <c r="E212" s="75" t="s">
        <v>706</v>
      </c>
      <c r="F212" s="64" t="s">
        <v>686</v>
      </c>
      <c r="G212" s="75" t="s">
        <v>265</v>
      </c>
      <c r="H212" s="135"/>
    </row>
    <row r="213" spans="2:8" x14ac:dyDescent="0.25">
      <c r="B213" s="73">
        <v>200</v>
      </c>
      <c r="C213" s="62" t="s">
        <v>912</v>
      </c>
      <c r="D213" s="131" t="s">
        <v>609</v>
      </c>
      <c r="E213" s="73" t="s">
        <v>706</v>
      </c>
      <c r="F213" s="67" t="s">
        <v>686</v>
      </c>
      <c r="G213" s="73" t="s">
        <v>265</v>
      </c>
      <c r="H213" s="136"/>
    </row>
    <row r="214" spans="2:8" x14ac:dyDescent="0.25">
      <c r="B214" s="75">
        <v>200</v>
      </c>
      <c r="C214" s="54" t="s">
        <v>913</v>
      </c>
      <c r="D214" s="129" t="s">
        <v>609</v>
      </c>
      <c r="E214" s="75" t="s">
        <v>706</v>
      </c>
      <c r="F214" s="64" t="s">
        <v>686</v>
      </c>
      <c r="G214" s="75" t="s">
        <v>265</v>
      </c>
      <c r="H214" s="135"/>
    </row>
    <row r="215" spans="2:8" x14ac:dyDescent="0.25">
      <c r="B215" s="73">
        <v>200</v>
      </c>
      <c r="C215" s="62" t="s">
        <v>914</v>
      </c>
      <c r="D215" s="131" t="s">
        <v>615</v>
      </c>
      <c r="E215" s="73" t="s">
        <v>706</v>
      </c>
      <c r="F215" s="67" t="s">
        <v>686</v>
      </c>
      <c r="G215" s="73" t="s">
        <v>265</v>
      </c>
      <c r="H215" s="136"/>
    </row>
    <row r="216" spans="2:8" x14ac:dyDescent="0.25">
      <c r="B216" s="75">
        <v>200</v>
      </c>
      <c r="C216" s="54" t="s">
        <v>915</v>
      </c>
      <c r="D216" s="129" t="s">
        <v>615</v>
      </c>
      <c r="E216" s="75" t="s">
        <v>706</v>
      </c>
      <c r="F216" s="64" t="s">
        <v>686</v>
      </c>
      <c r="G216" s="75" t="s">
        <v>265</v>
      </c>
      <c r="H216" s="135"/>
    </row>
    <row r="217" spans="2:8" x14ac:dyDescent="0.25">
      <c r="B217" s="73">
        <v>200</v>
      </c>
      <c r="C217" s="62" t="s">
        <v>916</v>
      </c>
      <c r="D217" s="131" t="s">
        <v>617</v>
      </c>
      <c r="E217" s="73" t="s">
        <v>706</v>
      </c>
      <c r="F217" s="67" t="s">
        <v>686</v>
      </c>
      <c r="G217" s="73" t="s">
        <v>265</v>
      </c>
      <c r="H217" s="136"/>
    </row>
    <row r="218" spans="2:8" x14ac:dyDescent="0.25">
      <c r="B218" s="75">
        <v>200</v>
      </c>
      <c r="C218" s="54" t="s">
        <v>917</v>
      </c>
      <c r="D218" s="129" t="s">
        <v>617</v>
      </c>
      <c r="E218" s="75" t="s">
        <v>706</v>
      </c>
      <c r="F218" s="64" t="s">
        <v>686</v>
      </c>
      <c r="G218" s="75" t="s">
        <v>265</v>
      </c>
      <c r="H218" s="135"/>
    </row>
    <row r="219" spans="2:8" x14ac:dyDescent="0.25">
      <c r="B219" s="73">
        <v>200</v>
      </c>
      <c r="C219" s="62" t="s">
        <v>918</v>
      </c>
      <c r="D219" s="131" t="s">
        <v>617</v>
      </c>
      <c r="E219" s="73" t="s">
        <v>706</v>
      </c>
      <c r="F219" s="67" t="s">
        <v>686</v>
      </c>
      <c r="G219" s="73" t="s">
        <v>265</v>
      </c>
      <c r="H219" s="136"/>
    </row>
    <row r="220" spans="2:8" x14ac:dyDescent="0.25">
      <c r="B220" s="75">
        <v>200</v>
      </c>
      <c r="C220" s="54" t="s">
        <v>919</v>
      </c>
      <c r="D220" s="129" t="s">
        <v>617</v>
      </c>
      <c r="E220" s="75" t="s">
        <v>706</v>
      </c>
      <c r="F220" s="64" t="s">
        <v>686</v>
      </c>
      <c r="G220" s="75" t="s">
        <v>265</v>
      </c>
      <c r="H220" s="135"/>
    </row>
    <row r="221" spans="2:8" x14ac:dyDescent="0.25">
      <c r="B221" s="73">
        <v>200</v>
      </c>
      <c r="C221" s="62" t="s">
        <v>920</v>
      </c>
      <c r="D221" s="131" t="s">
        <v>612</v>
      </c>
      <c r="E221" s="73" t="s">
        <v>706</v>
      </c>
      <c r="F221" s="67" t="s">
        <v>686</v>
      </c>
      <c r="G221" s="73" t="s">
        <v>265</v>
      </c>
      <c r="H221" s="136" t="s">
        <v>921</v>
      </c>
    </row>
    <row r="222" spans="2:8" x14ac:dyDescent="0.25">
      <c r="B222" s="75">
        <v>200</v>
      </c>
      <c r="C222" s="54" t="s">
        <v>922</v>
      </c>
      <c r="D222" s="129" t="s">
        <v>612</v>
      </c>
      <c r="E222" s="75" t="s">
        <v>706</v>
      </c>
      <c r="F222" s="64" t="s">
        <v>686</v>
      </c>
      <c r="G222" s="75" t="s">
        <v>265</v>
      </c>
      <c r="H222" s="135" t="s">
        <v>921</v>
      </c>
    </row>
    <row r="223" spans="2:8" x14ac:dyDescent="0.25">
      <c r="B223" s="73">
        <v>200</v>
      </c>
      <c r="C223" s="62" t="s">
        <v>923</v>
      </c>
      <c r="D223" s="131" t="s">
        <v>612</v>
      </c>
      <c r="E223" s="73" t="s">
        <v>706</v>
      </c>
      <c r="F223" s="67" t="s">
        <v>686</v>
      </c>
      <c r="G223" s="73" t="s">
        <v>265</v>
      </c>
      <c r="H223" s="136" t="s">
        <v>921</v>
      </c>
    </row>
    <row r="224" spans="2:8" x14ac:dyDescent="0.25">
      <c r="B224" s="75">
        <v>200</v>
      </c>
      <c r="C224" s="54" t="s">
        <v>924</v>
      </c>
      <c r="D224" s="129" t="s">
        <v>612</v>
      </c>
      <c r="E224" s="75" t="s">
        <v>706</v>
      </c>
      <c r="F224" s="64" t="s">
        <v>686</v>
      </c>
      <c r="G224" s="75" t="s">
        <v>265</v>
      </c>
      <c r="H224" s="135" t="s">
        <v>921</v>
      </c>
    </row>
    <row r="225" spans="2:8" x14ac:dyDescent="0.25">
      <c r="B225" s="73">
        <v>200</v>
      </c>
      <c r="C225" s="62" t="s">
        <v>925</v>
      </c>
      <c r="D225" s="131" t="s">
        <v>612</v>
      </c>
      <c r="E225" s="73" t="s">
        <v>706</v>
      </c>
      <c r="F225" s="67" t="s">
        <v>686</v>
      </c>
      <c r="G225" s="73" t="s">
        <v>265</v>
      </c>
      <c r="H225" s="136" t="s">
        <v>921</v>
      </c>
    </row>
    <row r="226" spans="2:8" x14ac:dyDescent="0.25">
      <c r="B226" s="75">
        <v>200</v>
      </c>
      <c r="C226" s="54" t="s">
        <v>926</v>
      </c>
      <c r="D226" s="129" t="s">
        <v>612</v>
      </c>
      <c r="E226" s="75" t="s">
        <v>706</v>
      </c>
      <c r="F226" s="64" t="s">
        <v>686</v>
      </c>
      <c r="G226" s="75" t="s">
        <v>265</v>
      </c>
      <c r="H226" s="135" t="s">
        <v>921</v>
      </c>
    </row>
    <row r="227" spans="2:8" x14ac:dyDescent="0.25">
      <c r="B227" s="73">
        <v>200</v>
      </c>
      <c r="C227" s="62" t="s">
        <v>927</v>
      </c>
      <c r="D227" s="131" t="s">
        <v>612</v>
      </c>
      <c r="E227" s="73" t="s">
        <v>706</v>
      </c>
      <c r="F227" s="67" t="s">
        <v>686</v>
      </c>
      <c r="G227" s="73" t="s">
        <v>265</v>
      </c>
      <c r="H227" s="136" t="s">
        <v>921</v>
      </c>
    </row>
    <row r="228" spans="2:8" x14ac:dyDescent="0.25">
      <c r="B228" s="75">
        <v>200</v>
      </c>
      <c r="C228" s="54" t="s">
        <v>928</v>
      </c>
      <c r="D228" s="129" t="s">
        <v>612</v>
      </c>
      <c r="E228" s="75" t="s">
        <v>706</v>
      </c>
      <c r="F228" s="64" t="s">
        <v>686</v>
      </c>
      <c r="G228" s="75" t="s">
        <v>265</v>
      </c>
      <c r="H228" s="135" t="s">
        <v>921</v>
      </c>
    </row>
    <row r="229" spans="2:8" x14ac:dyDescent="0.25">
      <c r="B229" s="73">
        <v>200</v>
      </c>
      <c r="C229" s="62" t="s">
        <v>929</v>
      </c>
      <c r="D229" s="131" t="s">
        <v>612</v>
      </c>
      <c r="E229" s="73" t="s">
        <v>706</v>
      </c>
      <c r="F229" s="67" t="s">
        <v>686</v>
      </c>
      <c r="G229" s="73" t="s">
        <v>265</v>
      </c>
      <c r="H229" s="136" t="s">
        <v>921</v>
      </c>
    </row>
    <row r="230" spans="2:8" x14ac:dyDescent="0.25">
      <c r="B230" s="75">
        <v>200</v>
      </c>
      <c r="C230" s="54" t="s">
        <v>930</v>
      </c>
      <c r="D230" s="129" t="s">
        <v>617</v>
      </c>
      <c r="E230" s="75" t="s">
        <v>706</v>
      </c>
      <c r="F230" s="64" t="s">
        <v>686</v>
      </c>
      <c r="G230" s="75" t="s">
        <v>265</v>
      </c>
      <c r="H230" s="135"/>
    </row>
    <row r="231" spans="2:8" x14ac:dyDescent="0.25">
      <c r="B231" s="73">
        <v>200</v>
      </c>
      <c r="C231" s="62" t="s">
        <v>931</v>
      </c>
      <c r="D231" s="131" t="s">
        <v>617</v>
      </c>
      <c r="E231" s="73" t="s">
        <v>706</v>
      </c>
      <c r="F231" s="67" t="s">
        <v>686</v>
      </c>
      <c r="G231" s="73" t="s">
        <v>265</v>
      </c>
      <c r="H231" s="136"/>
    </row>
    <row r="232" spans="2:8" x14ac:dyDescent="0.25">
      <c r="B232" s="75">
        <v>200</v>
      </c>
      <c r="C232" s="54" t="s">
        <v>932</v>
      </c>
      <c r="D232" s="129" t="s">
        <v>617</v>
      </c>
      <c r="E232" s="75" t="s">
        <v>706</v>
      </c>
      <c r="F232" s="64" t="s">
        <v>686</v>
      </c>
      <c r="G232" s="75" t="s">
        <v>265</v>
      </c>
      <c r="H232" s="135"/>
    </row>
    <row r="233" spans="2:8" x14ac:dyDescent="0.25">
      <c r="B233" s="73">
        <v>200</v>
      </c>
      <c r="C233" s="62" t="s">
        <v>933</v>
      </c>
      <c r="D233" s="131" t="s">
        <v>617</v>
      </c>
      <c r="E233" s="73" t="s">
        <v>706</v>
      </c>
      <c r="F233" s="67" t="s">
        <v>686</v>
      </c>
      <c r="G233" s="73" t="s">
        <v>265</v>
      </c>
      <c r="H233" s="136"/>
    </row>
    <row r="234" spans="2:8" x14ac:dyDescent="0.25">
      <c r="B234" s="75">
        <v>200</v>
      </c>
      <c r="C234" s="54" t="s">
        <v>934</v>
      </c>
      <c r="D234" s="129" t="s">
        <v>617</v>
      </c>
      <c r="E234" s="75" t="s">
        <v>706</v>
      </c>
      <c r="F234" s="64" t="s">
        <v>686</v>
      </c>
      <c r="G234" s="75" t="s">
        <v>265</v>
      </c>
      <c r="H234" s="135"/>
    </row>
    <row r="235" spans="2:8" x14ac:dyDescent="0.25">
      <c r="B235" s="73">
        <v>200</v>
      </c>
      <c r="C235" s="62" t="s">
        <v>935</v>
      </c>
      <c r="D235" s="131" t="s">
        <v>617</v>
      </c>
      <c r="E235" s="73" t="s">
        <v>706</v>
      </c>
      <c r="F235" s="67" t="s">
        <v>686</v>
      </c>
      <c r="G235" s="73" t="s">
        <v>265</v>
      </c>
      <c r="H235" s="136"/>
    </row>
    <row r="236" spans="2:8" x14ac:dyDescent="0.25">
      <c r="B236" s="75">
        <v>200</v>
      </c>
      <c r="C236" s="54" t="s">
        <v>936</v>
      </c>
      <c r="D236" s="129" t="s">
        <v>617</v>
      </c>
      <c r="E236" s="75" t="s">
        <v>706</v>
      </c>
      <c r="F236" s="64" t="s">
        <v>686</v>
      </c>
      <c r="G236" s="75" t="s">
        <v>265</v>
      </c>
      <c r="H236" s="135"/>
    </row>
    <row r="237" spans="2:8" x14ac:dyDescent="0.25">
      <c r="B237" s="73">
        <v>200</v>
      </c>
      <c r="C237" s="62" t="s">
        <v>937</v>
      </c>
      <c r="D237" s="131" t="s">
        <v>617</v>
      </c>
      <c r="E237" s="73" t="s">
        <v>706</v>
      </c>
      <c r="F237" s="67" t="s">
        <v>686</v>
      </c>
      <c r="G237" s="73" t="s">
        <v>265</v>
      </c>
      <c r="H237" s="136"/>
    </row>
    <row r="238" spans="2:8" x14ac:dyDescent="0.25">
      <c r="B238" s="75">
        <v>200</v>
      </c>
      <c r="C238" s="54" t="s">
        <v>938</v>
      </c>
      <c r="D238" s="129" t="s">
        <v>617</v>
      </c>
      <c r="E238" s="75" t="s">
        <v>706</v>
      </c>
      <c r="F238" s="64" t="s">
        <v>686</v>
      </c>
      <c r="G238" s="75" t="s">
        <v>265</v>
      </c>
      <c r="H238" s="135"/>
    </row>
    <row r="239" spans="2:8" x14ac:dyDescent="0.25">
      <c r="B239" s="73">
        <v>200</v>
      </c>
      <c r="C239" s="62" t="s">
        <v>939</v>
      </c>
      <c r="D239" s="131" t="s">
        <v>617</v>
      </c>
      <c r="E239" s="73" t="s">
        <v>706</v>
      </c>
      <c r="F239" s="67" t="s">
        <v>686</v>
      </c>
      <c r="G239" s="73" t="s">
        <v>265</v>
      </c>
      <c r="H239" s="136"/>
    </row>
    <row r="240" spans="2:8" x14ac:dyDescent="0.25">
      <c r="B240" s="75">
        <v>200</v>
      </c>
      <c r="C240" s="54" t="s">
        <v>940</v>
      </c>
      <c r="D240" s="129" t="s">
        <v>617</v>
      </c>
      <c r="E240" s="75" t="s">
        <v>706</v>
      </c>
      <c r="F240" s="64" t="s">
        <v>686</v>
      </c>
      <c r="G240" s="75" t="s">
        <v>265</v>
      </c>
      <c r="H240" s="135"/>
    </row>
    <row r="241" spans="2:8" x14ac:dyDescent="0.25">
      <c r="B241" s="73">
        <v>200</v>
      </c>
      <c r="C241" s="62" t="s">
        <v>941</v>
      </c>
      <c r="D241" s="131" t="s">
        <v>617</v>
      </c>
      <c r="E241" s="73" t="s">
        <v>706</v>
      </c>
      <c r="F241" s="67" t="s">
        <v>686</v>
      </c>
      <c r="G241" s="73" t="s">
        <v>265</v>
      </c>
      <c r="H241" s="136"/>
    </row>
    <row r="242" spans="2:8" x14ac:dyDescent="0.25">
      <c r="B242" s="75">
        <v>200</v>
      </c>
      <c r="C242" s="54" t="s">
        <v>942</v>
      </c>
      <c r="D242" s="129" t="s">
        <v>617</v>
      </c>
      <c r="E242" s="75" t="s">
        <v>706</v>
      </c>
      <c r="F242" s="64" t="s">
        <v>686</v>
      </c>
      <c r="G242" s="75" t="s">
        <v>265</v>
      </c>
      <c r="H242" s="135"/>
    </row>
    <row r="243" spans="2:8" x14ac:dyDescent="0.25">
      <c r="B243" s="73">
        <v>200</v>
      </c>
      <c r="C243" s="62" t="s">
        <v>943</v>
      </c>
      <c r="D243" s="131" t="s">
        <v>617</v>
      </c>
      <c r="E243" s="73" t="s">
        <v>706</v>
      </c>
      <c r="F243" s="67" t="s">
        <v>686</v>
      </c>
      <c r="G243" s="73" t="s">
        <v>265</v>
      </c>
      <c r="H243" s="136"/>
    </row>
    <row r="244" spans="2:8" x14ac:dyDescent="0.25">
      <c r="B244" s="75">
        <v>200</v>
      </c>
      <c r="C244" s="54" t="s">
        <v>944</v>
      </c>
      <c r="D244" s="129" t="s">
        <v>617</v>
      </c>
      <c r="E244" s="75" t="s">
        <v>706</v>
      </c>
      <c r="F244" s="64" t="s">
        <v>686</v>
      </c>
      <c r="G244" s="75" t="s">
        <v>265</v>
      </c>
      <c r="H244" s="135"/>
    </row>
    <row r="245" spans="2:8" x14ac:dyDescent="0.25">
      <c r="B245" s="73">
        <v>200</v>
      </c>
      <c r="C245" s="62" t="s">
        <v>945</v>
      </c>
      <c r="D245" s="131" t="s">
        <v>617</v>
      </c>
      <c r="E245" s="73" t="s">
        <v>706</v>
      </c>
      <c r="F245" s="67" t="s">
        <v>686</v>
      </c>
      <c r="G245" s="73" t="s">
        <v>265</v>
      </c>
      <c r="H245" s="136"/>
    </row>
    <row r="246" spans="2:8" x14ac:dyDescent="0.25">
      <c r="B246" s="75">
        <v>200</v>
      </c>
      <c r="C246" s="54" t="s">
        <v>946</v>
      </c>
      <c r="D246" s="129" t="s">
        <v>622</v>
      </c>
      <c r="E246" s="75" t="s">
        <v>706</v>
      </c>
      <c r="F246" s="64" t="s">
        <v>686</v>
      </c>
      <c r="G246" s="75" t="s">
        <v>265</v>
      </c>
      <c r="H246" s="135"/>
    </row>
    <row r="247" spans="2:8" x14ac:dyDescent="0.25">
      <c r="B247" s="73">
        <v>200</v>
      </c>
      <c r="C247" s="62" t="s">
        <v>947</v>
      </c>
      <c r="D247" s="131" t="s">
        <v>622</v>
      </c>
      <c r="E247" s="73" t="s">
        <v>706</v>
      </c>
      <c r="F247" s="67" t="s">
        <v>686</v>
      </c>
      <c r="G247" s="73" t="s">
        <v>265</v>
      </c>
      <c r="H247" s="136"/>
    </row>
    <row r="248" spans="2:8" x14ac:dyDescent="0.25">
      <c r="B248" s="75">
        <v>200</v>
      </c>
      <c r="C248" s="54" t="s">
        <v>948</v>
      </c>
      <c r="D248" s="129" t="s">
        <v>622</v>
      </c>
      <c r="E248" s="75" t="s">
        <v>706</v>
      </c>
      <c r="F248" s="64" t="s">
        <v>686</v>
      </c>
      <c r="G248" s="75" t="s">
        <v>265</v>
      </c>
      <c r="H248" s="135"/>
    </row>
    <row r="249" spans="2:8" x14ac:dyDescent="0.25">
      <c r="B249" s="73">
        <v>200</v>
      </c>
      <c r="C249" s="62" t="s">
        <v>949</v>
      </c>
      <c r="D249" s="131" t="s">
        <v>622</v>
      </c>
      <c r="E249" s="73" t="s">
        <v>706</v>
      </c>
      <c r="F249" s="67" t="s">
        <v>686</v>
      </c>
      <c r="G249" s="73" t="s">
        <v>265</v>
      </c>
      <c r="H249" s="136"/>
    </row>
    <row r="250" spans="2:8" x14ac:dyDescent="0.25">
      <c r="B250" s="75">
        <v>200</v>
      </c>
      <c r="C250" s="54" t="s">
        <v>950</v>
      </c>
      <c r="D250" s="129" t="s">
        <v>627</v>
      </c>
      <c r="E250" s="75" t="s">
        <v>706</v>
      </c>
      <c r="F250" s="64" t="s">
        <v>686</v>
      </c>
      <c r="G250" s="75" t="s">
        <v>265</v>
      </c>
      <c r="H250" s="135"/>
    </row>
    <row r="251" spans="2:8" x14ac:dyDescent="0.25">
      <c r="B251" s="73">
        <v>200</v>
      </c>
      <c r="C251" s="62" t="s">
        <v>951</v>
      </c>
      <c r="D251" s="131" t="s">
        <v>627</v>
      </c>
      <c r="E251" s="73" t="s">
        <v>706</v>
      </c>
      <c r="F251" s="67" t="s">
        <v>686</v>
      </c>
      <c r="G251" s="73" t="s">
        <v>265</v>
      </c>
      <c r="H251" s="136"/>
    </row>
    <row r="252" spans="2:8" x14ac:dyDescent="0.25">
      <c r="B252" s="75">
        <v>200</v>
      </c>
      <c r="C252" s="54" t="s">
        <v>952</v>
      </c>
      <c r="D252" s="129" t="s">
        <v>508</v>
      </c>
      <c r="E252" s="75" t="s">
        <v>685</v>
      </c>
      <c r="F252" s="64" t="s">
        <v>686</v>
      </c>
      <c r="G252" s="75" t="s">
        <v>265</v>
      </c>
      <c r="H252" s="135" t="s">
        <v>953</v>
      </c>
    </row>
    <row r="253" spans="2:8" x14ac:dyDescent="0.25">
      <c r="B253" s="73">
        <v>200</v>
      </c>
      <c r="C253" s="62" t="s">
        <v>954</v>
      </c>
      <c r="D253" s="131" t="s">
        <v>508</v>
      </c>
      <c r="E253" s="73" t="s">
        <v>685</v>
      </c>
      <c r="F253" s="67" t="s">
        <v>686</v>
      </c>
      <c r="G253" s="73" t="s">
        <v>265</v>
      </c>
      <c r="H253" s="136" t="s">
        <v>953</v>
      </c>
    </row>
    <row r="254" spans="2:8" x14ac:dyDescent="0.25">
      <c r="B254" s="75">
        <v>200</v>
      </c>
      <c r="C254" s="54" t="s">
        <v>955</v>
      </c>
      <c r="D254" s="129" t="s">
        <v>637</v>
      </c>
      <c r="E254" s="75" t="s">
        <v>706</v>
      </c>
      <c r="F254" s="64" t="s">
        <v>686</v>
      </c>
      <c r="G254" s="75" t="s">
        <v>265</v>
      </c>
      <c r="H254" s="135" t="s">
        <v>956</v>
      </c>
    </row>
    <row r="255" spans="2:8" x14ac:dyDescent="0.25">
      <c r="B255" s="73">
        <v>200</v>
      </c>
      <c r="C255" s="62" t="s">
        <v>957</v>
      </c>
      <c r="D255" s="131" t="s">
        <v>628</v>
      </c>
      <c r="E255" s="73" t="s">
        <v>706</v>
      </c>
      <c r="F255" s="67" t="s">
        <v>686</v>
      </c>
      <c r="G255" s="73" t="s">
        <v>265</v>
      </c>
      <c r="H255" s="136"/>
    </row>
    <row r="256" spans="2:8" x14ac:dyDescent="0.25">
      <c r="B256" s="75">
        <v>200</v>
      </c>
      <c r="C256" s="54" t="s">
        <v>958</v>
      </c>
      <c r="D256" s="129" t="s">
        <v>628</v>
      </c>
      <c r="E256" s="75" t="s">
        <v>706</v>
      </c>
      <c r="F256" s="64" t="s">
        <v>686</v>
      </c>
      <c r="G256" s="75" t="s">
        <v>265</v>
      </c>
      <c r="H256" s="135"/>
    </row>
    <row r="257" spans="2:8" x14ac:dyDescent="0.25">
      <c r="B257" s="73">
        <v>200</v>
      </c>
      <c r="C257" s="62" t="s">
        <v>959</v>
      </c>
      <c r="D257" s="131" t="s">
        <v>649</v>
      </c>
      <c r="E257" s="73" t="s">
        <v>706</v>
      </c>
      <c r="F257" s="67" t="s">
        <v>686</v>
      </c>
      <c r="G257" s="73" t="s">
        <v>265</v>
      </c>
      <c r="H257" s="136"/>
    </row>
    <row r="258" spans="2:8" x14ac:dyDescent="0.25">
      <c r="B258" s="75">
        <v>200</v>
      </c>
      <c r="C258" s="54" t="s">
        <v>960</v>
      </c>
      <c r="D258" s="129" t="s">
        <v>649</v>
      </c>
      <c r="E258" s="75" t="s">
        <v>706</v>
      </c>
      <c r="F258" s="64" t="s">
        <v>686</v>
      </c>
      <c r="G258" s="75" t="s">
        <v>265</v>
      </c>
      <c r="H258" s="135"/>
    </row>
    <row r="259" spans="2:8" x14ac:dyDescent="0.25">
      <c r="B259" s="73">
        <v>400</v>
      </c>
      <c r="C259" s="62" t="s">
        <v>961</v>
      </c>
      <c r="D259" s="131" t="s">
        <v>649</v>
      </c>
      <c r="E259" s="73" t="s">
        <v>706</v>
      </c>
      <c r="F259" s="67" t="s">
        <v>686</v>
      </c>
      <c r="G259" s="73" t="s">
        <v>265</v>
      </c>
      <c r="H259" s="136"/>
    </row>
    <row r="260" spans="2:8" x14ac:dyDescent="0.25">
      <c r="B260" s="75">
        <v>200</v>
      </c>
      <c r="C260" s="54" t="s">
        <v>962</v>
      </c>
      <c r="D260" s="129" t="s">
        <v>653</v>
      </c>
      <c r="E260" s="75" t="s">
        <v>685</v>
      </c>
      <c r="F260" s="64" t="s">
        <v>686</v>
      </c>
      <c r="G260" s="75" t="s">
        <v>265</v>
      </c>
      <c r="H260" s="135"/>
    </row>
    <row r="261" spans="2:8" x14ac:dyDescent="0.25">
      <c r="B261" s="73">
        <v>200</v>
      </c>
      <c r="C261" s="62" t="s">
        <v>963</v>
      </c>
      <c r="D261" s="131" t="s">
        <v>653</v>
      </c>
      <c r="E261" s="73" t="s">
        <v>685</v>
      </c>
      <c r="F261" s="67" t="s">
        <v>686</v>
      </c>
      <c r="G261" s="73" t="s">
        <v>265</v>
      </c>
      <c r="H261" s="136"/>
    </row>
    <row r="262" spans="2:8" x14ac:dyDescent="0.25">
      <c r="B262" s="75">
        <v>200</v>
      </c>
      <c r="C262" s="54" t="s">
        <v>964</v>
      </c>
      <c r="D262" s="129" t="s">
        <v>658</v>
      </c>
      <c r="E262" s="75" t="s">
        <v>706</v>
      </c>
      <c r="F262" s="64" t="s">
        <v>686</v>
      </c>
      <c r="G262" s="75" t="s">
        <v>265</v>
      </c>
      <c r="H262" s="135" t="s">
        <v>965</v>
      </c>
    </row>
    <row r="263" spans="2:8" x14ac:dyDescent="0.25">
      <c r="B263" s="73">
        <v>200</v>
      </c>
      <c r="C263" s="62" t="s">
        <v>966</v>
      </c>
      <c r="D263" s="131" t="s">
        <v>658</v>
      </c>
      <c r="E263" s="73" t="s">
        <v>706</v>
      </c>
      <c r="F263" s="67" t="s">
        <v>686</v>
      </c>
      <c r="G263" s="73" t="s">
        <v>265</v>
      </c>
      <c r="H263" s="136" t="s">
        <v>965</v>
      </c>
    </row>
    <row r="264" spans="2:8" x14ac:dyDescent="0.25">
      <c r="B264" s="75">
        <v>200</v>
      </c>
      <c r="C264" s="54" t="s">
        <v>967</v>
      </c>
      <c r="D264" s="129" t="s">
        <v>658</v>
      </c>
      <c r="E264" s="75" t="s">
        <v>706</v>
      </c>
      <c r="F264" s="64" t="s">
        <v>686</v>
      </c>
      <c r="G264" s="75" t="s">
        <v>265</v>
      </c>
      <c r="H264" s="135"/>
    </row>
    <row r="265" spans="2:8" x14ac:dyDescent="0.25">
      <c r="B265" s="73">
        <v>200</v>
      </c>
      <c r="C265" s="62" t="s">
        <v>968</v>
      </c>
      <c r="D265" s="131" t="s">
        <v>658</v>
      </c>
      <c r="E265" s="73" t="s">
        <v>706</v>
      </c>
      <c r="F265" s="67" t="s">
        <v>686</v>
      </c>
      <c r="G265" s="73" t="s">
        <v>265</v>
      </c>
      <c r="H265" s="136"/>
    </row>
    <row r="266" spans="2:8" x14ac:dyDescent="0.25">
      <c r="B266" s="75">
        <v>200</v>
      </c>
      <c r="C266" s="54" t="s">
        <v>969</v>
      </c>
      <c r="D266" s="129" t="s">
        <v>487</v>
      </c>
      <c r="E266" s="75" t="s">
        <v>970</v>
      </c>
      <c r="F266" s="64" t="s">
        <v>686</v>
      </c>
      <c r="G266" s="75" t="s">
        <v>265</v>
      </c>
      <c r="H266" s="135" t="s">
        <v>971</v>
      </c>
    </row>
    <row r="267" spans="2:8" x14ac:dyDescent="0.25">
      <c r="B267" s="73">
        <v>200</v>
      </c>
      <c r="C267" s="62" t="s">
        <v>972</v>
      </c>
      <c r="D267" s="131" t="s">
        <v>642</v>
      </c>
      <c r="E267" s="73" t="s">
        <v>970</v>
      </c>
      <c r="F267" s="67" t="s">
        <v>686</v>
      </c>
      <c r="G267" s="73" t="s">
        <v>265</v>
      </c>
      <c r="H267" s="136"/>
    </row>
    <row r="268" spans="2:8" x14ac:dyDescent="0.25">
      <c r="B268" s="75">
        <v>200</v>
      </c>
      <c r="C268" s="54" t="s">
        <v>973</v>
      </c>
      <c r="D268" s="129" t="s">
        <v>646</v>
      </c>
      <c r="E268" s="75" t="s">
        <v>970</v>
      </c>
      <c r="F268" s="64" t="s">
        <v>686</v>
      </c>
      <c r="G268" s="75" t="s">
        <v>265</v>
      </c>
      <c r="H268" s="135"/>
    </row>
    <row r="269" spans="2:8" x14ac:dyDescent="0.25">
      <c r="B269" s="73">
        <v>200</v>
      </c>
      <c r="C269" s="62" t="s">
        <v>974</v>
      </c>
      <c r="D269" s="131" t="s">
        <v>646</v>
      </c>
      <c r="E269" s="73" t="s">
        <v>970</v>
      </c>
      <c r="F269" s="67" t="s">
        <v>686</v>
      </c>
      <c r="G269" s="73" t="s">
        <v>265</v>
      </c>
      <c r="H269" s="136"/>
    </row>
    <row r="270" spans="2:8" x14ac:dyDescent="0.25">
      <c r="B270" s="75">
        <v>200</v>
      </c>
      <c r="C270" s="54" t="s">
        <v>975</v>
      </c>
      <c r="D270" s="129" t="s">
        <v>646</v>
      </c>
      <c r="E270" s="75" t="s">
        <v>970</v>
      </c>
      <c r="F270" s="64" t="s">
        <v>686</v>
      </c>
      <c r="G270" s="75" t="s">
        <v>265</v>
      </c>
      <c r="H270" s="135"/>
    </row>
    <row r="271" spans="2:8" x14ac:dyDescent="0.25">
      <c r="B271" s="73">
        <v>200</v>
      </c>
      <c r="C271" s="62" t="s">
        <v>976</v>
      </c>
      <c r="D271" s="131" t="s">
        <v>646</v>
      </c>
      <c r="E271" s="73" t="s">
        <v>970</v>
      </c>
      <c r="F271" s="67" t="s">
        <v>686</v>
      </c>
      <c r="G271" s="73" t="s">
        <v>265</v>
      </c>
      <c r="H271" s="136"/>
    </row>
    <row r="272" spans="2:8" x14ac:dyDescent="0.25">
      <c r="B272" s="75">
        <v>200</v>
      </c>
      <c r="C272" s="54" t="s">
        <v>977</v>
      </c>
      <c r="D272" s="129" t="s">
        <v>646</v>
      </c>
      <c r="E272" s="75" t="s">
        <v>970</v>
      </c>
      <c r="F272" s="64" t="s">
        <v>686</v>
      </c>
      <c r="G272" s="75" t="s">
        <v>265</v>
      </c>
      <c r="H272" s="135"/>
    </row>
    <row r="273" spans="2:8" x14ac:dyDescent="0.25">
      <c r="B273" s="73">
        <v>400</v>
      </c>
      <c r="C273" s="62" t="s">
        <v>978</v>
      </c>
      <c r="D273" s="131" t="s">
        <v>646</v>
      </c>
      <c r="E273" s="73" t="s">
        <v>970</v>
      </c>
      <c r="F273" s="67" t="s">
        <v>686</v>
      </c>
      <c r="G273" s="73" t="s">
        <v>265</v>
      </c>
      <c r="H273" s="136"/>
    </row>
    <row r="274" spans="2:8" x14ac:dyDescent="0.25">
      <c r="B274" s="75">
        <v>200</v>
      </c>
      <c r="C274" s="54" t="s">
        <v>979</v>
      </c>
      <c r="D274" s="129" t="s">
        <v>475</v>
      </c>
      <c r="E274" s="75" t="s">
        <v>685</v>
      </c>
      <c r="F274" s="64" t="s">
        <v>686</v>
      </c>
      <c r="G274" s="75" t="s">
        <v>265</v>
      </c>
      <c r="H274" s="135" t="s">
        <v>980</v>
      </c>
    </row>
    <row r="275" spans="2:8" x14ac:dyDescent="0.25">
      <c r="B275" s="73">
        <v>200</v>
      </c>
      <c r="C275" s="62" t="s">
        <v>981</v>
      </c>
      <c r="D275" s="131" t="s">
        <v>475</v>
      </c>
      <c r="E275" s="73" t="s">
        <v>685</v>
      </c>
      <c r="F275" s="67" t="s">
        <v>686</v>
      </c>
      <c r="G275" s="73" t="s">
        <v>265</v>
      </c>
      <c r="H275" s="136" t="s">
        <v>982</v>
      </c>
    </row>
    <row r="276" spans="2:8" x14ac:dyDescent="0.25">
      <c r="B276" s="75">
        <v>200</v>
      </c>
      <c r="C276" s="54" t="s">
        <v>983</v>
      </c>
      <c r="D276" s="129" t="s">
        <v>475</v>
      </c>
      <c r="E276" s="75" t="s">
        <v>685</v>
      </c>
      <c r="F276" s="64" t="s">
        <v>686</v>
      </c>
      <c r="G276" s="75" t="s">
        <v>265</v>
      </c>
      <c r="H276" s="135" t="s">
        <v>687</v>
      </c>
    </row>
    <row r="277" spans="2:8" x14ac:dyDescent="0.25">
      <c r="B277" s="73">
        <v>200</v>
      </c>
      <c r="C277" s="62" t="s">
        <v>742</v>
      </c>
      <c r="D277" s="131" t="s">
        <v>634</v>
      </c>
      <c r="E277" s="73" t="s">
        <v>706</v>
      </c>
      <c r="F277" s="67" t="s">
        <v>686</v>
      </c>
      <c r="G277" s="73" t="s">
        <v>265</v>
      </c>
      <c r="H277" s="136" t="s">
        <v>984</v>
      </c>
    </row>
    <row r="278" spans="2:8" x14ac:dyDescent="0.25">
      <c r="B278" s="75">
        <v>200</v>
      </c>
      <c r="C278" s="54" t="s">
        <v>985</v>
      </c>
      <c r="D278" s="129" t="s">
        <v>482</v>
      </c>
      <c r="E278" s="75" t="s">
        <v>685</v>
      </c>
      <c r="F278" s="64" t="s">
        <v>686</v>
      </c>
      <c r="G278" s="75" t="s">
        <v>265</v>
      </c>
      <c r="H278" s="135" t="s">
        <v>986</v>
      </c>
    </row>
    <row r="279" spans="2:8" ht="22.5" x14ac:dyDescent="0.25">
      <c r="B279" s="137">
        <v>900</v>
      </c>
      <c r="C279" s="138" t="s">
        <v>987</v>
      </c>
      <c r="D279" s="139" t="s">
        <v>481</v>
      </c>
      <c r="E279" s="137" t="s">
        <v>970</v>
      </c>
      <c r="F279" s="140" t="s">
        <v>988</v>
      </c>
      <c r="G279" s="137" t="s">
        <v>265</v>
      </c>
      <c r="H279" s="141" t="s">
        <v>989</v>
      </c>
    </row>
    <row r="280" spans="2:8" x14ac:dyDescent="0.25">
      <c r="B280" s="137">
        <v>900</v>
      </c>
      <c r="C280" s="138" t="s">
        <v>990</v>
      </c>
      <c r="D280" s="139" t="s">
        <v>481</v>
      </c>
      <c r="E280" s="137" t="s">
        <v>970</v>
      </c>
      <c r="F280" s="140" t="s">
        <v>988</v>
      </c>
      <c r="G280" s="137" t="s">
        <v>265</v>
      </c>
      <c r="H280" s="141" t="s">
        <v>991</v>
      </c>
    </row>
    <row r="281" spans="2:8" x14ac:dyDescent="0.25">
      <c r="B281" s="137">
        <v>900</v>
      </c>
      <c r="C281" s="138" t="s">
        <v>992</v>
      </c>
      <c r="D281" s="139" t="s">
        <v>481</v>
      </c>
      <c r="E281" s="137" t="s">
        <v>970</v>
      </c>
      <c r="F281" s="140" t="s">
        <v>988</v>
      </c>
      <c r="G281" s="137" t="s">
        <v>265</v>
      </c>
      <c r="H281" s="141" t="s">
        <v>993</v>
      </c>
    </row>
    <row r="282" spans="2:8" x14ac:dyDescent="0.25">
      <c r="B282" s="137">
        <v>900</v>
      </c>
      <c r="C282" s="138" t="s">
        <v>994</v>
      </c>
      <c r="D282" s="139" t="s">
        <v>481</v>
      </c>
      <c r="E282" s="137" t="s">
        <v>970</v>
      </c>
      <c r="F282" s="140" t="s">
        <v>988</v>
      </c>
      <c r="G282" s="137" t="s">
        <v>265</v>
      </c>
      <c r="H282" s="141" t="s">
        <v>995</v>
      </c>
    </row>
    <row r="283" spans="2:8" x14ac:dyDescent="0.25">
      <c r="B283" s="137">
        <v>900</v>
      </c>
      <c r="C283" s="138" t="s">
        <v>996</v>
      </c>
      <c r="D283" s="139" t="s">
        <v>481</v>
      </c>
      <c r="E283" s="137" t="s">
        <v>970</v>
      </c>
      <c r="F283" s="140" t="s">
        <v>988</v>
      </c>
      <c r="G283" s="137" t="s">
        <v>265</v>
      </c>
      <c r="H283" s="141" t="s">
        <v>997</v>
      </c>
    </row>
    <row r="284" spans="2:8" x14ac:dyDescent="0.25">
      <c r="B284" s="137">
        <v>900</v>
      </c>
      <c r="C284" s="138" t="s">
        <v>998</v>
      </c>
      <c r="D284" s="139" t="s">
        <v>481</v>
      </c>
      <c r="E284" s="137" t="s">
        <v>970</v>
      </c>
      <c r="F284" s="140" t="s">
        <v>988</v>
      </c>
      <c r="G284" s="137" t="s">
        <v>265</v>
      </c>
      <c r="H284" s="141" t="s">
        <v>999</v>
      </c>
    </row>
    <row r="285" spans="2:8" x14ac:dyDescent="0.25">
      <c r="B285" s="137">
        <v>900</v>
      </c>
      <c r="C285" s="138" t="s">
        <v>1000</v>
      </c>
      <c r="D285" s="139" t="s">
        <v>481</v>
      </c>
      <c r="E285" s="137" t="s">
        <v>970</v>
      </c>
      <c r="F285" s="140" t="s">
        <v>988</v>
      </c>
      <c r="G285" s="137" t="s">
        <v>265</v>
      </c>
      <c r="H285" s="141" t="s">
        <v>999</v>
      </c>
    </row>
    <row r="286" spans="2:8" x14ac:dyDescent="0.25">
      <c r="B286" s="137">
        <v>900</v>
      </c>
      <c r="C286" s="138" t="s">
        <v>1001</v>
      </c>
      <c r="D286" s="139" t="s">
        <v>481</v>
      </c>
      <c r="E286" s="137" t="s">
        <v>970</v>
      </c>
      <c r="F286" s="140" t="s">
        <v>988</v>
      </c>
      <c r="G286" s="137" t="s">
        <v>265</v>
      </c>
      <c r="H286" s="141" t="s">
        <v>1002</v>
      </c>
    </row>
    <row r="287" spans="2:8" x14ac:dyDescent="0.25">
      <c r="B287" s="137">
        <v>900</v>
      </c>
      <c r="C287" s="138" t="s">
        <v>1003</v>
      </c>
      <c r="D287" s="139" t="s">
        <v>481</v>
      </c>
      <c r="E287" s="137" t="s">
        <v>970</v>
      </c>
      <c r="F287" s="140" t="s">
        <v>988</v>
      </c>
      <c r="G287" s="137" t="s">
        <v>265</v>
      </c>
      <c r="H287" s="141" t="s">
        <v>1004</v>
      </c>
    </row>
    <row r="288" spans="2:8" x14ac:dyDescent="0.25">
      <c r="B288" s="137">
        <v>900</v>
      </c>
      <c r="C288" s="138" t="s">
        <v>1005</v>
      </c>
      <c r="D288" s="139" t="s">
        <v>481</v>
      </c>
      <c r="E288" s="137" t="s">
        <v>970</v>
      </c>
      <c r="F288" s="140" t="s">
        <v>988</v>
      </c>
      <c r="G288" s="137" t="s">
        <v>265</v>
      </c>
      <c r="H288" s="141" t="s">
        <v>993</v>
      </c>
    </row>
    <row r="289" spans="2:8" x14ac:dyDescent="0.25">
      <c r="B289" s="137">
        <v>900</v>
      </c>
      <c r="C289" s="138" t="s">
        <v>1006</v>
      </c>
      <c r="D289" s="139" t="s">
        <v>481</v>
      </c>
      <c r="E289" s="137" t="s">
        <v>970</v>
      </c>
      <c r="F289" s="140" t="s">
        <v>988</v>
      </c>
      <c r="G289" s="137" t="s">
        <v>265</v>
      </c>
      <c r="H289" s="141" t="s">
        <v>1007</v>
      </c>
    </row>
    <row r="290" spans="2:8" x14ac:dyDescent="0.25">
      <c r="B290" s="137">
        <v>900</v>
      </c>
      <c r="C290" s="138" t="s">
        <v>1008</v>
      </c>
      <c r="D290" s="139" t="s">
        <v>481</v>
      </c>
      <c r="E290" s="137" t="s">
        <v>970</v>
      </c>
      <c r="F290" s="140" t="s">
        <v>988</v>
      </c>
      <c r="G290" s="137" t="s">
        <v>265</v>
      </c>
      <c r="H290" s="141" t="s">
        <v>1009</v>
      </c>
    </row>
    <row r="291" spans="2:8" x14ac:dyDescent="0.25">
      <c r="B291" s="137">
        <v>900</v>
      </c>
      <c r="C291" s="138" t="s">
        <v>1010</v>
      </c>
      <c r="D291" s="139" t="s">
        <v>481</v>
      </c>
      <c r="E291" s="137" t="s">
        <v>970</v>
      </c>
      <c r="F291" s="140" t="s">
        <v>988</v>
      </c>
      <c r="G291" s="137" t="s">
        <v>265</v>
      </c>
      <c r="H291" s="141" t="s">
        <v>1011</v>
      </c>
    </row>
    <row r="292" spans="2:8" x14ac:dyDescent="0.25">
      <c r="B292" s="137">
        <v>900</v>
      </c>
      <c r="C292" s="138" t="s">
        <v>1012</v>
      </c>
      <c r="D292" s="139" t="s">
        <v>481</v>
      </c>
      <c r="E292" s="137" t="s">
        <v>970</v>
      </c>
      <c r="F292" s="140" t="s">
        <v>988</v>
      </c>
      <c r="G292" s="137" t="s">
        <v>265</v>
      </c>
      <c r="H292" s="141" t="s">
        <v>1011</v>
      </c>
    </row>
    <row r="293" spans="2:8" x14ac:dyDescent="0.25">
      <c r="B293" s="137">
        <v>900</v>
      </c>
      <c r="C293" s="138" t="s">
        <v>1013</v>
      </c>
      <c r="D293" s="139" t="s">
        <v>481</v>
      </c>
      <c r="E293" s="137" t="s">
        <v>970</v>
      </c>
      <c r="F293" s="140" t="s">
        <v>988</v>
      </c>
      <c r="G293" s="137" t="s">
        <v>265</v>
      </c>
      <c r="H293" s="141" t="s">
        <v>1011</v>
      </c>
    </row>
    <row r="294" spans="2:8" x14ac:dyDescent="0.25">
      <c r="B294" s="137">
        <v>900</v>
      </c>
      <c r="C294" s="138" t="s">
        <v>1014</v>
      </c>
      <c r="D294" s="139" t="s">
        <v>481</v>
      </c>
      <c r="E294" s="137" t="s">
        <v>970</v>
      </c>
      <c r="F294" s="140" t="s">
        <v>988</v>
      </c>
      <c r="G294" s="137" t="s">
        <v>265</v>
      </c>
      <c r="H294" s="141" t="s">
        <v>1015</v>
      </c>
    </row>
    <row r="295" spans="2:8" x14ac:dyDescent="0.25">
      <c r="B295" s="137">
        <v>900</v>
      </c>
      <c r="C295" s="138" t="s">
        <v>1016</v>
      </c>
      <c r="D295" s="139" t="s">
        <v>481</v>
      </c>
      <c r="E295" s="137" t="s">
        <v>970</v>
      </c>
      <c r="F295" s="140" t="s">
        <v>988</v>
      </c>
      <c r="G295" s="137" t="s">
        <v>265</v>
      </c>
      <c r="H295" s="141" t="s">
        <v>993</v>
      </c>
    </row>
    <row r="296" spans="2:8" x14ac:dyDescent="0.25">
      <c r="B296" s="137">
        <v>900</v>
      </c>
      <c r="C296" s="138" t="s">
        <v>1017</v>
      </c>
      <c r="D296" s="139" t="s">
        <v>481</v>
      </c>
      <c r="E296" s="137" t="s">
        <v>970</v>
      </c>
      <c r="F296" s="140" t="s">
        <v>988</v>
      </c>
      <c r="G296" s="137" t="s">
        <v>265</v>
      </c>
      <c r="H296" s="141" t="s">
        <v>1004</v>
      </c>
    </row>
    <row r="297" spans="2:8" x14ac:dyDescent="0.25">
      <c r="B297" s="137">
        <v>900</v>
      </c>
      <c r="C297" s="138" t="s">
        <v>1018</v>
      </c>
      <c r="D297" s="139" t="s">
        <v>481</v>
      </c>
      <c r="E297" s="137" t="s">
        <v>970</v>
      </c>
      <c r="F297" s="140" t="s">
        <v>988</v>
      </c>
      <c r="G297" s="137" t="s">
        <v>265</v>
      </c>
      <c r="H297" s="141" t="s">
        <v>993</v>
      </c>
    </row>
    <row r="298" spans="2:8" x14ac:dyDescent="0.25">
      <c r="B298" s="137">
        <v>900</v>
      </c>
      <c r="C298" s="138" t="s">
        <v>1019</v>
      </c>
      <c r="D298" s="139" t="s">
        <v>481</v>
      </c>
      <c r="E298" s="137" t="s">
        <v>970</v>
      </c>
      <c r="F298" s="140" t="s">
        <v>988</v>
      </c>
      <c r="G298" s="137" t="s">
        <v>265</v>
      </c>
      <c r="H298" s="141" t="s">
        <v>1020</v>
      </c>
    </row>
    <row r="299" spans="2:8" x14ac:dyDescent="0.25">
      <c r="B299" s="137">
        <v>900</v>
      </c>
      <c r="C299" s="138" t="s">
        <v>1021</v>
      </c>
      <c r="D299" s="139" t="s">
        <v>481</v>
      </c>
      <c r="E299" s="137" t="s">
        <v>970</v>
      </c>
      <c r="F299" s="140" t="s">
        <v>988</v>
      </c>
      <c r="G299" s="137" t="s">
        <v>265</v>
      </c>
      <c r="H299" s="141" t="s">
        <v>993</v>
      </c>
    </row>
    <row r="300" spans="2:8" x14ac:dyDescent="0.25">
      <c r="B300" s="137">
        <v>900</v>
      </c>
      <c r="C300" s="138" t="s">
        <v>1022</v>
      </c>
      <c r="D300" s="139" t="s">
        <v>481</v>
      </c>
      <c r="E300" s="137" t="s">
        <v>970</v>
      </c>
      <c r="F300" s="140" t="s">
        <v>988</v>
      </c>
      <c r="G300" s="137" t="s">
        <v>265</v>
      </c>
      <c r="H300" s="141" t="s">
        <v>1002</v>
      </c>
    </row>
    <row r="301" spans="2:8" x14ac:dyDescent="0.25">
      <c r="B301" s="137">
        <v>900</v>
      </c>
      <c r="C301" s="138" t="s">
        <v>1023</v>
      </c>
      <c r="D301" s="139" t="s">
        <v>481</v>
      </c>
      <c r="E301" s="137" t="s">
        <v>970</v>
      </c>
      <c r="F301" s="140" t="s">
        <v>988</v>
      </c>
      <c r="G301" s="137" t="s">
        <v>265</v>
      </c>
      <c r="H301" s="141" t="s">
        <v>1024</v>
      </c>
    </row>
    <row r="302" spans="2:8" x14ac:dyDescent="0.25">
      <c r="B302" s="137">
        <v>900</v>
      </c>
      <c r="C302" s="138" t="s">
        <v>1025</v>
      </c>
      <c r="D302" s="139" t="s">
        <v>481</v>
      </c>
      <c r="E302" s="137" t="s">
        <v>970</v>
      </c>
      <c r="F302" s="140" t="s">
        <v>988</v>
      </c>
      <c r="G302" s="137" t="s">
        <v>265</v>
      </c>
      <c r="H302" s="141" t="s">
        <v>1024</v>
      </c>
    </row>
    <row r="303" spans="2:8" x14ac:dyDescent="0.25">
      <c r="B303" s="137">
        <v>900</v>
      </c>
      <c r="C303" s="138" t="s">
        <v>1026</v>
      </c>
      <c r="D303" s="139" t="s">
        <v>481</v>
      </c>
      <c r="E303" s="137" t="s">
        <v>970</v>
      </c>
      <c r="F303" s="140" t="s">
        <v>988</v>
      </c>
      <c r="G303" s="137" t="s">
        <v>265</v>
      </c>
      <c r="H303" s="141" t="s">
        <v>1027</v>
      </c>
    </row>
    <row r="304" spans="2:8" x14ac:dyDescent="0.25">
      <c r="B304" s="137">
        <v>900</v>
      </c>
      <c r="C304" s="138" t="s">
        <v>1028</v>
      </c>
      <c r="D304" s="139" t="s">
        <v>481</v>
      </c>
      <c r="E304" s="137" t="s">
        <v>970</v>
      </c>
      <c r="F304" s="140" t="s">
        <v>988</v>
      </c>
      <c r="G304" s="137" t="s">
        <v>265</v>
      </c>
      <c r="H304" s="141" t="s">
        <v>1029</v>
      </c>
    </row>
    <row r="305" spans="2:8" x14ac:dyDescent="0.25">
      <c r="B305" s="137">
        <v>900</v>
      </c>
      <c r="C305" s="138" t="s">
        <v>1030</v>
      </c>
      <c r="D305" s="139" t="s">
        <v>481</v>
      </c>
      <c r="E305" s="137" t="s">
        <v>970</v>
      </c>
      <c r="F305" s="140" t="s">
        <v>988</v>
      </c>
      <c r="G305" s="137" t="s">
        <v>265</v>
      </c>
      <c r="H305" s="141" t="s">
        <v>1031</v>
      </c>
    </row>
    <row r="306" spans="2:8" x14ac:dyDescent="0.25">
      <c r="B306" s="137">
        <v>900</v>
      </c>
      <c r="C306" s="138" t="s">
        <v>1032</v>
      </c>
      <c r="D306" s="139" t="s">
        <v>481</v>
      </c>
      <c r="E306" s="137" t="s">
        <v>970</v>
      </c>
      <c r="F306" s="140" t="s">
        <v>988</v>
      </c>
      <c r="G306" s="137" t="s">
        <v>265</v>
      </c>
      <c r="H306" s="141" t="s">
        <v>1031</v>
      </c>
    </row>
    <row r="307" spans="2:8" x14ac:dyDescent="0.25">
      <c r="B307" s="137">
        <v>900</v>
      </c>
      <c r="C307" s="138" t="s">
        <v>1033</v>
      </c>
      <c r="D307" s="139" t="s">
        <v>481</v>
      </c>
      <c r="E307" s="137" t="s">
        <v>970</v>
      </c>
      <c r="F307" s="140" t="s">
        <v>988</v>
      </c>
      <c r="G307" s="137" t="s">
        <v>265</v>
      </c>
      <c r="H307" s="141" t="s">
        <v>1031</v>
      </c>
    </row>
    <row r="308" spans="2:8" x14ac:dyDescent="0.25">
      <c r="B308" s="137">
        <v>900</v>
      </c>
      <c r="C308" s="138" t="s">
        <v>1034</v>
      </c>
      <c r="D308" s="139" t="s">
        <v>481</v>
      </c>
      <c r="E308" s="137" t="s">
        <v>970</v>
      </c>
      <c r="F308" s="140" t="s">
        <v>988</v>
      </c>
      <c r="G308" s="137" t="s">
        <v>265</v>
      </c>
      <c r="H308" s="141" t="s">
        <v>1031</v>
      </c>
    </row>
    <row r="309" spans="2:8" x14ac:dyDescent="0.25">
      <c r="B309" s="137">
        <v>900</v>
      </c>
      <c r="C309" s="138" t="s">
        <v>1035</v>
      </c>
      <c r="D309" s="139" t="s">
        <v>481</v>
      </c>
      <c r="E309" s="137" t="s">
        <v>970</v>
      </c>
      <c r="F309" s="140" t="s">
        <v>988</v>
      </c>
      <c r="G309" s="137" t="s">
        <v>265</v>
      </c>
      <c r="H309" s="141" t="s">
        <v>1031</v>
      </c>
    </row>
    <row r="310" spans="2:8" x14ac:dyDescent="0.25">
      <c r="B310" s="137">
        <v>900</v>
      </c>
      <c r="C310" s="138" t="s">
        <v>1036</v>
      </c>
      <c r="D310" s="139" t="s">
        <v>481</v>
      </c>
      <c r="E310" s="137" t="s">
        <v>970</v>
      </c>
      <c r="F310" s="140" t="s">
        <v>988</v>
      </c>
      <c r="G310" s="137" t="s">
        <v>265</v>
      </c>
      <c r="H310" s="141" t="s">
        <v>1031</v>
      </c>
    </row>
    <row r="311" spans="2:8" x14ac:dyDescent="0.25">
      <c r="B311" s="137">
        <v>900</v>
      </c>
      <c r="C311" s="138" t="s">
        <v>1037</v>
      </c>
      <c r="D311" s="139" t="s">
        <v>481</v>
      </c>
      <c r="E311" s="137" t="s">
        <v>970</v>
      </c>
      <c r="F311" s="140" t="s">
        <v>988</v>
      </c>
      <c r="G311" s="137" t="s">
        <v>265</v>
      </c>
      <c r="H311" s="141" t="s">
        <v>1031</v>
      </c>
    </row>
    <row r="312" spans="2:8" x14ac:dyDescent="0.25">
      <c r="B312" s="137">
        <v>900</v>
      </c>
      <c r="C312" s="138" t="s">
        <v>1038</v>
      </c>
      <c r="D312" s="139" t="s">
        <v>481</v>
      </c>
      <c r="E312" s="137" t="s">
        <v>970</v>
      </c>
      <c r="F312" s="140" t="s">
        <v>988</v>
      </c>
      <c r="G312" s="137" t="s">
        <v>265</v>
      </c>
      <c r="H312" s="141" t="s">
        <v>1031</v>
      </c>
    </row>
    <row r="313" spans="2:8" x14ac:dyDescent="0.25">
      <c r="B313" s="137">
        <v>900</v>
      </c>
      <c r="C313" s="138" t="s">
        <v>1039</v>
      </c>
      <c r="D313" s="139" t="s">
        <v>481</v>
      </c>
      <c r="E313" s="137" t="s">
        <v>970</v>
      </c>
      <c r="F313" s="140" t="s">
        <v>988</v>
      </c>
      <c r="G313" s="137" t="s">
        <v>265</v>
      </c>
      <c r="H313" s="141" t="s">
        <v>1031</v>
      </c>
    </row>
    <row r="314" spans="2:8" x14ac:dyDescent="0.25">
      <c r="B314" s="137">
        <v>900</v>
      </c>
      <c r="C314" s="138" t="s">
        <v>1040</v>
      </c>
      <c r="D314" s="139" t="s">
        <v>481</v>
      </c>
      <c r="E314" s="137" t="s">
        <v>970</v>
      </c>
      <c r="F314" s="140" t="s">
        <v>988</v>
      </c>
      <c r="G314" s="137" t="s">
        <v>265</v>
      </c>
      <c r="H314" s="141" t="s">
        <v>1031</v>
      </c>
    </row>
    <row r="315" spans="2:8" x14ac:dyDescent="0.25">
      <c r="B315" s="137">
        <v>900</v>
      </c>
      <c r="C315" s="138" t="s">
        <v>1041</v>
      </c>
      <c r="D315" s="139" t="s">
        <v>481</v>
      </c>
      <c r="E315" s="137" t="s">
        <v>970</v>
      </c>
      <c r="F315" s="140" t="s">
        <v>988</v>
      </c>
      <c r="G315" s="137" t="s">
        <v>265</v>
      </c>
      <c r="H315" s="141" t="s">
        <v>1031</v>
      </c>
    </row>
    <row r="316" spans="2:8" x14ac:dyDescent="0.25">
      <c r="B316" s="137">
        <v>900</v>
      </c>
      <c r="C316" s="138" t="s">
        <v>1042</v>
      </c>
      <c r="D316" s="139" t="s">
        <v>481</v>
      </c>
      <c r="E316" s="137" t="s">
        <v>970</v>
      </c>
      <c r="F316" s="140" t="s">
        <v>988</v>
      </c>
      <c r="G316" s="137" t="s">
        <v>265</v>
      </c>
      <c r="H316" s="141" t="s">
        <v>1031</v>
      </c>
    </row>
    <row r="317" spans="2:8" x14ac:dyDescent="0.25">
      <c r="B317" s="137">
        <v>900</v>
      </c>
      <c r="C317" s="138" t="s">
        <v>1043</v>
      </c>
      <c r="D317" s="139" t="s">
        <v>481</v>
      </c>
      <c r="E317" s="137" t="s">
        <v>970</v>
      </c>
      <c r="F317" s="140" t="s">
        <v>988</v>
      </c>
      <c r="G317" s="137" t="s">
        <v>265</v>
      </c>
      <c r="H317" s="141" t="s">
        <v>1031</v>
      </c>
    </row>
    <row r="318" spans="2:8" x14ac:dyDescent="0.25">
      <c r="B318" s="137">
        <v>900</v>
      </c>
      <c r="C318" s="138" t="s">
        <v>1044</v>
      </c>
      <c r="D318" s="139" t="s">
        <v>481</v>
      </c>
      <c r="E318" s="137" t="s">
        <v>970</v>
      </c>
      <c r="F318" s="140" t="s">
        <v>988</v>
      </c>
      <c r="G318" s="137" t="s">
        <v>265</v>
      </c>
      <c r="H318" s="141" t="s">
        <v>1031</v>
      </c>
    </row>
    <row r="319" spans="2:8" x14ac:dyDescent="0.25">
      <c r="B319" s="137">
        <v>900</v>
      </c>
      <c r="C319" s="138" t="s">
        <v>1045</v>
      </c>
      <c r="D319" s="139" t="s">
        <v>481</v>
      </c>
      <c r="E319" s="137" t="s">
        <v>970</v>
      </c>
      <c r="F319" s="140" t="s">
        <v>988</v>
      </c>
      <c r="G319" s="137" t="s">
        <v>265</v>
      </c>
      <c r="H319" s="141" t="s">
        <v>1031</v>
      </c>
    </row>
    <row r="320" spans="2:8" x14ac:dyDescent="0.25">
      <c r="B320" s="137">
        <v>900</v>
      </c>
      <c r="C320" s="138" t="s">
        <v>1046</v>
      </c>
      <c r="D320" s="139" t="s">
        <v>481</v>
      </c>
      <c r="E320" s="137" t="s">
        <v>970</v>
      </c>
      <c r="F320" s="140" t="s">
        <v>988</v>
      </c>
      <c r="G320" s="137" t="s">
        <v>265</v>
      </c>
      <c r="H320" s="141" t="s">
        <v>1031</v>
      </c>
    </row>
    <row r="321" spans="2:8" x14ac:dyDescent="0.25">
      <c r="B321" s="137">
        <v>900</v>
      </c>
      <c r="C321" s="138" t="s">
        <v>1047</v>
      </c>
      <c r="D321" s="139" t="s">
        <v>481</v>
      </c>
      <c r="E321" s="137" t="s">
        <v>970</v>
      </c>
      <c r="F321" s="140" t="s">
        <v>988</v>
      </c>
      <c r="G321" s="137" t="s">
        <v>265</v>
      </c>
      <c r="H321" s="141" t="s">
        <v>1048</v>
      </c>
    </row>
    <row r="322" spans="2:8" x14ac:dyDescent="0.25">
      <c r="B322" s="137">
        <v>900</v>
      </c>
      <c r="C322" s="138" t="s">
        <v>1049</v>
      </c>
      <c r="D322" s="139" t="s">
        <v>481</v>
      </c>
      <c r="E322" s="137" t="s">
        <v>970</v>
      </c>
      <c r="F322" s="140" t="s">
        <v>988</v>
      </c>
      <c r="G322" s="137" t="s">
        <v>265</v>
      </c>
      <c r="H322" s="141" t="s">
        <v>1048</v>
      </c>
    </row>
    <row r="323" spans="2:8" x14ac:dyDescent="0.25">
      <c r="B323" s="142"/>
      <c r="C323" s="28"/>
      <c r="D323" s="28"/>
      <c r="E323" s="29"/>
      <c r="F323" s="29"/>
      <c r="G323" s="29"/>
      <c r="H323" s="28"/>
    </row>
    <row r="324" spans="2:8" x14ac:dyDescent="0.25">
      <c r="B324" s="142"/>
      <c r="C324" s="28"/>
      <c r="D324" s="28"/>
      <c r="E324" s="29"/>
      <c r="F324" s="29"/>
      <c r="G324" s="29"/>
      <c r="H324" s="28"/>
    </row>
    <row r="325" spans="2:8" x14ac:dyDescent="0.25">
      <c r="B325" s="142"/>
      <c r="C325" s="28"/>
      <c r="D325" s="28"/>
      <c r="E325" s="29"/>
      <c r="F325" s="29"/>
      <c r="G325" s="29"/>
      <c r="H325" s="28"/>
    </row>
    <row r="326" spans="2:8" x14ac:dyDescent="0.25">
      <c r="B326" s="142"/>
      <c r="C326" s="28"/>
      <c r="D326" s="28"/>
      <c r="E326" s="29"/>
      <c r="F326" s="29"/>
      <c r="G326" s="29"/>
      <c r="H326" s="28"/>
    </row>
    <row r="327" spans="2:8" x14ac:dyDescent="0.25">
      <c r="B327" s="142"/>
      <c r="C327" s="28"/>
      <c r="D327" s="28"/>
      <c r="E327" s="29"/>
      <c r="F327" s="29"/>
      <c r="G327" s="29"/>
      <c r="H327" s="28"/>
    </row>
    <row r="328" spans="2:8" x14ac:dyDescent="0.25">
      <c r="B328" s="142"/>
      <c r="C328" s="28"/>
      <c r="D328" s="28"/>
      <c r="E328" s="29"/>
      <c r="F328" s="29"/>
      <c r="G328" s="29"/>
      <c r="H328" s="28"/>
    </row>
    <row r="329" spans="2:8" x14ac:dyDescent="0.25">
      <c r="B329" s="142"/>
      <c r="C329" s="28"/>
      <c r="D329" s="28"/>
      <c r="E329" s="29"/>
      <c r="F329" s="29"/>
      <c r="G329" s="29"/>
      <c r="H329" s="28"/>
    </row>
    <row r="330" spans="2:8" x14ac:dyDescent="0.25">
      <c r="B330" s="142"/>
      <c r="C330" s="28"/>
      <c r="D330" s="28"/>
      <c r="E330" s="29"/>
      <c r="F330" s="29"/>
      <c r="G330" s="29"/>
      <c r="H330" s="28"/>
    </row>
    <row r="331" spans="2:8" x14ac:dyDescent="0.25">
      <c r="B331" s="142"/>
      <c r="C331" s="28"/>
      <c r="D331" s="28"/>
      <c r="E331" s="29"/>
      <c r="F331" s="29"/>
      <c r="G331" s="29"/>
      <c r="H331" s="28"/>
    </row>
    <row r="332" spans="2:8" x14ac:dyDescent="0.25">
      <c r="B332" s="142"/>
      <c r="C332" s="28"/>
      <c r="D332" s="28"/>
      <c r="E332" s="29"/>
      <c r="F332" s="29"/>
      <c r="G332" s="29"/>
      <c r="H332" s="28"/>
    </row>
    <row r="333" spans="2:8" x14ac:dyDescent="0.25">
      <c r="B333" s="142"/>
      <c r="C333" s="28"/>
      <c r="D333" s="28"/>
      <c r="E333" s="29"/>
      <c r="F333" s="29"/>
      <c r="G333" s="29"/>
      <c r="H333" s="28"/>
    </row>
    <row r="334" spans="2:8" x14ac:dyDescent="0.25">
      <c r="B334" s="142"/>
      <c r="C334" s="28"/>
      <c r="D334" s="28"/>
      <c r="E334" s="29"/>
      <c r="F334" s="29"/>
      <c r="G334" s="29"/>
      <c r="H334" s="28"/>
    </row>
    <row r="335" spans="2:8" x14ac:dyDescent="0.25">
      <c r="B335" s="142"/>
      <c r="C335" s="28"/>
      <c r="D335" s="28"/>
      <c r="E335" s="29"/>
      <c r="F335" s="29"/>
      <c r="G335" s="29"/>
      <c r="H335" s="28"/>
    </row>
    <row r="336" spans="2:8" x14ac:dyDescent="0.25">
      <c r="B336" s="142"/>
      <c r="C336" s="28"/>
      <c r="D336" s="28"/>
      <c r="E336" s="29"/>
      <c r="F336" s="29"/>
      <c r="G336" s="29"/>
      <c r="H336" s="28"/>
    </row>
    <row r="337" spans="2:8" x14ac:dyDescent="0.25">
      <c r="B337" s="142"/>
      <c r="C337" s="28"/>
      <c r="D337" s="28"/>
      <c r="E337" s="29"/>
      <c r="F337" s="29"/>
      <c r="G337" s="29"/>
      <c r="H337" s="28"/>
    </row>
    <row r="338" spans="2:8" x14ac:dyDescent="0.25">
      <c r="B338" s="142"/>
      <c r="C338" s="28"/>
      <c r="D338" s="28"/>
      <c r="E338" s="29"/>
      <c r="F338" s="29"/>
      <c r="G338" s="29"/>
      <c r="H338" s="28"/>
    </row>
    <row r="339" spans="2:8" x14ac:dyDescent="0.25">
      <c r="B339" s="142"/>
      <c r="C339" s="28"/>
      <c r="D339" s="28"/>
      <c r="E339" s="29"/>
      <c r="F339" s="29"/>
      <c r="G339" s="29"/>
      <c r="H339" s="28"/>
    </row>
    <row r="340" spans="2:8" x14ac:dyDescent="0.25">
      <c r="B340" s="142"/>
      <c r="C340" s="28"/>
      <c r="D340" s="28"/>
      <c r="E340" s="29"/>
      <c r="F340" s="29"/>
      <c r="G340" s="29"/>
      <c r="H340" s="28"/>
    </row>
    <row r="341" spans="2:8" x14ac:dyDescent="0.25">
      <c r="B341" s="142"/>
      <c r="C341" s="28"/>
      <c r="D341" s="28"/>
      <c r="E341" s="29"/>
      <c r="F341" s="29"/>
      <c r="G341" s="29"/>
      <c r="H341" s="28"/>
    </row>
    <row r="342" spans="2:8" x14ac:dyDescent="0.25">
      <c r="B342" s="142"/>
      <c r="C342" s="28"/>
      <c r="D342" s="28"/>
      <c r="E342" s="29"/>
      <c r="F342" s="29"/>
      <c r="G342" s="29"/>
      <c r="H342" s="28"/>
    </row>
    <row r="343" spans="2:8" x14ac:dyDescent="0.25">
      <c r="B343" s="142"/>
      <c r="C343" s="28"/>
      <c r="D343" s="28"/>
      <c r="E343" s="29"/>
      <c r="F343" s="29"/>
      <c r="G343" s="29"/>
      <c r="H343" s="28"/>
    </row>
    <row r="344" spans="2:8" x14ac:dyDescent="0.25">
      <c r="B344" s="142"/>
      <c r="C344" s="28"/>
      <c r="D344" s="28"/>
      <c r="E344" s="29"/>
      <c r="F344" s="29"/>
      <c r="G344" s="29"/>
      <c r="H344" s="28"/>
    </row>
    <row r="345" spans="2:8" x14ac:dyDescent="0.25">
      <c r="B345" s="142"/>
      <c r="C345" s="28"/>
      <c r="D345" s="28"/>
      <c r="E345" s="29"/>
      <c r="F345" s="29"/>
      <c r="G345" s="29"/>
      <c r="H345" s="28"/>
    </row>
    <row r="346" spans="2:8" x14ac:dyDescent="0.25">
      <c r="B346" s="142"/>
      <c r="C346" s="28"/>
      <c r="D346" s="28"/>
      <c r="E346" s="29"/>
      <c r="F346" s="29"/>
      <c r="G346" s="29"/>
      <c r="H346" s="28"/>
    </row>
    <row r="347" spans="2:8" x14ac:dyDescent="0.25">
      <c r="B347" s="142"/>
      <c r="C347" s="28"/>
      <c r="D347" s="28"/>
      <c r="E347" s="29"/>
      <c r="F347" s="29"/>
      <c r="G347" s="29"/>
      <c r="H347" s="28"/>
    </row>
    <row r="348" spans="2:8" x14ac:dyDescent="0.25">
      <c r="B348" s="142"/>
      <c r="C348" s="28"/>
      <c r="D348" s="28"/>
      <c r="E348" s="29"/>
      <c r="F348" s="29"/>
      <c r="G348" s="29"/>
      <c r="H348" s="28"/>
    </row>
    <row r="349" spans="2:8" x14ac:dyDescent="0.25">
      <c r="B349" s="142"/>
      <c r="C349" s="28"/>
      <c r="D349" s="28"/>
      <c r="E349" s="29"/>
      <c r="F349" s="29"/>
      <c r="G349" s="29"/>
      <c r="H349" s="28"/>
    </row>
    <row r="350" spans="2:8" x14ac:dyDescent="0.25">
      <c r="B350" s="142"/>
      <c r="C350" s="28"/>
      <c r="D350" s="28"/>
      <c r="E350" s="29"/>
      <c r="F350" s="29"/>
      <c r="G350" s="29"/>
      <c r="H350" s="28"/>
    </row>
    <row r="351" spans="2:8" x14ac:dyDescent="0.25">
      <c r="B351" s="142"/>
      <c r="C351" s="28"/>
      <c r="D351" s="28"/>
      <c r="E351" s="29"/>
      <c r="F351" s="29"/>
      <c r="G351" s="29"/>
      <c r="H351" s="28"/>
    </row>
    <row r="352" spans="2:8" x14ac:dyDescent="0.25">
      <c r="B352" s="142"/>
      <c r="C352" s="28"/>
      <c r="D352" s="28"/>
      <c r="E352" s="29"/>
      <c r="F352" s="29"/>
      <c r="G352" s="29"/>
      <c r="H352" s="28"/>
    </row>
    <row r="353" spans="2:8" x14ac:dyDescent="0.25">
      <c r="B353" s="142"/>
      <c r="C353" s="28"/>
      <c r="D353" s="28"/>
      <c r="E353" s="29"/>
      <c r="F353" s="29"/>
      <c r="G353" s="29"/>
      <c r="H353" s="28"/>
    </row>
    <row r="354" spans="2:8" x14ac:dyDescent="0.25">
      <c r="B354" s="142"/>
      <c r="C354" s="28"/>
      <c r="D354" s="28"/>
      <c r="E354" s="29"/>
      <c r="F354" s="29"/>
      <c r="G354" s="29"/>
      <c r="H354" s="28"/>
    </row>
    <row r="355" spans="2:8" x14ac:dyDescent="0.25">
      <c r="B355" s="142"/>
      <c r="C355" s="28"/>
      <c r="D355" s="28"/>
      <c r="E355" s="29"/>
      <c r="F355" s="29"/>
      <c r="G355" s="29"/>
      <c r="H355" s="28"/>
    </row>
    <row r="356" spans="2:8" x14ac:dyDescent="0.25">
      <c r="B356" s="142"/>
      <c r="C356" s="28"/>
      <c r="D356" s="28"/>
      <c r="E356" s="29"/>
      <c r="F356" s="29"/>
      <c r="G356" s="29"/>
      <c r="H356" s="28"/>
    </row>
    <row r="357" spans="2:8" x14ac:dyDescent="0.25">
      <c r="B357" s="142"/>
      <c r="C357" s="28"/>
      <c r="D357" s="28"/>
      <c r="E357" s="29"/>
      <c r="F357" s="29"/>
      <c r="G357" s="29"/>
      <c r="H357" s="28"/>
    </row>
    <row r="358" spans="2:8" x14ac:dyDescent="0.25">
      <c r="B358" s="142"/>
      <c r="C358" s="28"/>
      <c r="D358" s="28"/>
      <c r="E358" s="29"/>
      <c r="F358" s="29"/>
      <c r="G358" s="29"/>
      <c r="H358" s="28"/>
    </row>
    <row r="359" spans="2:8" x14ac:dyDescent="0.25">
      <c r="B359" s="142"/>
      <c r="C359" s="28"/>
      <c r="D359" s="28"/>
      <c r="E359" s="29"/>
      <c r="F359" s="29"/>
      <c r="G359" s="29"/>
      <c r="H359" s="28"/>
    </row>
    <row r="360" spans="2:8" x14ac:dyDescent="0.25">
      <c r="B360" s="142"/>
      <c r="C360" s="28"/>
      <c r="D360" s="28"/>
      <c r="E360" s="29"/>
      <c r="F360" s="29"/>
      <c r="G360" s="29"/>
      <c r="H360" s="28"/>
    </row>
    <row r="361" spans="2:8" x14ac:dyDescent="0.25">
      <c r="B361" s="142"/>
      <c r="C361" s="28"/>
      <c r="D361" s="28"/>
      <c r="E361" s="29"/>
      <c r="F361" s="29"/>
      <c r="G361" s="29"/>
      <c r="H361" s="28"/>
    </row>
    <row r="362" spans="2:8" x14ac:dyDescent="0.25">
      <c r="B362" s="142"/>
      <c r="C362" s="28"/>
      <c r="D362" s="28"/>
      <c r="E362" s="29"/>
      <c r="F362" s="29"/>
      <c r="G362" s="29"/>
      <c r="H362" s="28"/>
    </row>
    <row r="363" spans="2:8" x14ac:dyDescent="0.25">
      <c r="B363" s="142"/>
      <c r="C363" s="28"/>
      <c r="D363" s="28"/>
      <c r="E363" s="29"/>
      <c r="F363" s="29"/>
      <c r="G363" s="29"/>
      <c r="H363" s="28"/>
    </row>
    <row r="364" spans="2:8" x14ac:dyDescent="0.25">
      <c r="B364" s="142"/>
      <c r="C364" s="28"/>
      <c r="D364" s="28"/>
      <c r="E364" s="29"/>
      <c r="F364" s="29"/>
      <c r="G364" s="29"/>
      <c r="H364" s="28"/>
    </row>
    <row r="365" spans="2:8" x14ac:dyDescent="0.25">
      <c r="B365" s="142"/>
      <c r="C365" s="28"/>
      <c r="D365" s="28"/>
      <c r="E365" s="29"/>
      <c r="F365" s="29"/>
      <c r="G365" s="29"/>
      <c r="H365" s="28"/>
    </row>
    <row r="366" spans="2:8" x14ac:dyDescent="0.25">
      <c r="B366" s="142"/>
      <c r="C366" s="28"/>
      <c r="D366" s="28"/>
      <c r="E366" s="29"/>
      <c r="F366" s="29"/>
      <c r="G366" s="29"/>
      <c r="H366" s="28"/>
    </row>
    <row r="367" spans="2:8" x14ac:dyDescent="0.25">
      <c r="B367" s="142"/>
      <c r="C367" s="28"/>
      <c r="D367" s="28"/>
      <c r="E367" s="29"/>
      <c r="F367" s="29"/>
      <c r="G367" s="29"/>
      <c r="H367" s="28"/>
    </row>
    <row r="368" spans="2:8" x14ac:dyDescent="0.25">
      <c r="B368" s="142"/>
      <c r="C368" s="28"/>
      <c r="D368" s="28"/>
      <c r="E368" s="29"/>
      <c r="F368" s="29"/>
      <c r="G368" s="29"/>
      <c r="H368" s="28"/>
    </row>
    <row r="369" spans="2:8" x14ac:dyDescent="0.25">
      <c r="B369" s="142"/>
      <c r="C369" s="28"/>
      <c r="D369" s="28"/>
      <c r="E369" s="29"/>
      <c r="F369" s="29"/>
      <c r="G369" s="29"/>
      <c r="H369" s="28"/>
    </row>
    <row r="370" spans="2:8" x14ac:dyDescent="0.25">
      <c r="B370" s="142"/>
      <c r="C370" s="28"/>
      <c r="D370" s="28"/>
      <c r="E370" s="29"/>
      <c r="F370" s="29"/>
      <c r="G370" s="29"/>
      <c r="H370" s="28"/>
    </row>
    <row r="371" spans="2:8" x14ac:dyDescent="0.25">
      <c r="B371" s="142"/>
      <c r="C371" s="28"/>
      <c r="D371" s="28"/>
      <c r="E371" s="29"/>
      <c r="F371" s="29"/>
      <c r="G371" s="29"/>
      <c r="H371" s="28"/>
    </row>
    <row r="372" spans="2:8" x14ac:dyDescent="0.25">
      <c r="B372" s="142"/>
      <c r="C372" s="28"/>
      <c r="D372" s="28"/>
      <c r="E372" s="29"/>
      <c r="F372" s="29"/>
      <c r="G372" s="29"/>
      <c r="H372" s="28"/>
    </row>
    <row r="373" spans="2:8" x14ac:dyDescent="0.25">
      <c r="B373" s="142"/>
      <c r="C373" s="28"/>
      <c r="D373" s="28"/>
      <c r="E373" s="29"/>
      <c r="F373" s="29"/>
      <c r="G373" s="29"/>
      <c r="H373" s="28"/>
    </row>
    <row r="374" spans="2:8" x14ac:dyDescent="0.25">
      <c r="B374" s="142"/>
      <c r="C374" s="28"/>
      <c r="D374" s="28"/>
      <c r="E374" s="29"/>
      <c r="F374" s="29"/>
      <c r="G374" s="29"/>
      <c r="H374" s="28"/>
    </row>
    <row r="375" spans="2:8" x14ac:dyDescent="0.25">
      <c r="B375" s="142"/>
      <c r="C375" s="28"/>
      <c r="D375" s="28"/>
      <c r="E375" s="29"/>
      <c r="F375" s="29"/>
      <c r="G375" s="29"/>
      <c r="H375" s="28"/>
    </row>
    <row r="376" spans="2:8" x14ac:dyDescent="0.25">
      <c r="B376" s="142"/>
      <c r="C376" s="28"/>
      <c r="D376" s="28"/>
      <c r="E376" s="29"/>
      <c r="F376" s="29"/>
      <c r="G376" s="29"/>
      <c r="H376" s="28"/>
    </row>
    <row r="377" spans="2:8" x14ac:dyDescent="0.25">
      <c r="B377" s="142"/>
      <c r="C377" s="28"/>
      <c r="D377" s="28"/>
      <c r="E377" s="29"/>
      <c r="F377" s="29"/>
      <c r="G377" s="29"/>
      <c r="H377" s="28"/>
    </row>
    <row r="378" spans="2:8" x14ac:dyDescent="0.25">
      <c r="B378" s="142"/>
      <c r="C378" s="28"/>
      <c r="D378" s="28"/>
      <c r="E378" s="29"/>
      <c r="F378" s="29"/>
      <c r="G378" s="29"/>
      <c r="H378" s="28"/>
    </row>
    <row r="379" spans="2:8" x14ac:dyDescent="0.25">
      <c r="B379" s="142"/>
      <c r="C379" s="28"/>
      <c r="D379" s="28"/>
      <c r="E379" s="29"/>
      <c r="F379" s="29"/>
      <c r="G379" s="29"/>
      <c r="H379" s="28"/>
    </row>
    <row r="380" spans="2:8" x14ac:dyDescent="0.25">
      <c r="B380" s="142"/>
      <c r="C380" s="28"/>
      <c r="D380" s="28"/>
      <c r="E380" s="29"/>
      <c r="F380" s="29"/>
      <c r="G380" s="29"/>
      <c r="H380" s="28"/>
    </row>
    <row r="381" spans="2:8" x14ac:dyDescent="0.25">
      <c r="B381" s="142"/>
      <c r="C381" s="28"/>
      <c r="D381" s="28"/>
      <c r="E381" s="29"/>
      <c r="F381" s="29"/>
      <c r="G381" s="29"/>
      <c r="H381" s="28"/>
    </row>
    <row r="382" spans="2:8" x14ac:dyDescent="0.25">
      <c r="B382" s="142"/>
      <c r="C382" s="28"/>
      <c r="D382" s="28"/>
      <c r="E382" s="29"/>
      <c r="F382" s="29"/>
      <c r="G382" s="29"/>
      <c r="H382" s="28"/>
    </row>
    <row r="383" spans="2:8" x14ac:dyDescent="0.25">
      <c r="B383" s="142"/>
      <c r="C383" s="28"/>
      <c r="D383" s="28"/>
      <c r="E383" s="29"/>
      <c r="F383" s="29"/>
      <c r="G383" s="29"/>
      <c r="H383" s="28"/>
    </row>
    <row r="384" spans="2:8" x14ac:dyDescent="0.25">
      <c r="B384" s="142"/>
      <c r="C384" s="28"/>
      <c r="D384" s="28"/>
      <c r="E384" s="29"/>
      <c r="F384" s="29"/>
      <c r="G384" s="29"/>
      <c r="H384" s="28"/>
    </row>
    <row r="385" spans="2:8" x14ac:dyDescent="0.25">
      <c r="B385" s="142"/>
      <c r="C385" s="28"/>
      <c r="D385" s="28"/>
      <c r="E385" s="29"/>
      <c r="F385" s="29"/>
      <c r="G385" s="29"/>
      <c r="H385" s="28"/>
    </row>
    <row r="386" spans="2:8" x14ac:dyDescent="0.25">
      <c r="B386" s="142"/>
      <c r="C386" s="28"/>
      <c r="D386" s="28"/>
      <c r="E386" s="29"/>
      <c r="F386" s="29"/>
      <c r="G386" s="29"/>
      <c r="H386" s="28"/>
    </row>
    <row r="387" spans="2:8" x14ac:dyDescent="0.25">
      <c r="B387" s="142"/>
      <c r="C387" s="28"/>
      <c r="D387" s="28"/>
      <c r="E387" s="29"/>
      <c r="F387" s="29"/>
      <c r="G387" s="29"/>
      <c r="H387" s="28"/>
    </row>
    <row r="388" spans="2:8" x14ac:dyDescent="0.25">
      <c r="B388" s="142"/>
      <c r="C388" s="28"/>
      <c r="D388" s="28"/>
      <c r="E388" s="29"/>
      <c r="F388" s="29"/>
      <c r="G388" s="29"/>
      <c r="H388" s="28"/>
    </row>
    <row r="389" spans="2:8" x14ac:dyDescent="0.25">
      <c r="B389" s="142"/>
      <c r="C389" s="28"/>
      <c r="D389" s="28"/>
      <c r="E389" s="29"/>
      <c r="F389" s="29"/>
      <c r="G389" s="29"/>
      <c r="H389" s="28"/>
    </row>
    <row r="390" spans="2:8" x14ac:dyDescent="0.25">
      <c r="B390" s="142"/>
      <c r="C390" s="28"/>
      <c r="D390" s="28"/>
      <c r="E390" s="29"/>
      <c r="F390" s="29"/>
      <c r="G390" s="29"/>
      <c r="H390" s="28"/>
    </row>
    <row r="391" spans="2:8" x14ac:dyDescent="0.25">
      <c r="B391" s="142"/>
      <c r="C391" s="28"/>
      <c r="D391" s="28"/>
      <c r="E391" s="29"/>
      <c r="F391" s="29"/>
      <c r="G391" s="29"/>
      <c r="H391" s="28"/>
    </row>
    <row r="392" spans="2:8" x14ac:dyDescent="0.25">
      <c r="B392" s="142"/>
      <c r="C392" s="28"/>
      <c r="D392" s="28"/>
      <c r="E392" s="29"/>
      <c r="F392" s="29"/>
      <c r="G392" s="29"/>
      <c r="H392" s="28"/>
    </row>
    <row r="393" spans="2:8" x14ac:dyDescent="0.25">
      <c r="B393" s="142"/>
      <c r="C393" s="28"/>
      <c r="D393" s="28"/>
      <c r="E393" s="29"/>
      <c r="F393" s="29"/>
      <c r="G393" s="29"/>
      <c r="H393" s="28"/>
    </row>
    <row r="394" spans="2:8" x14ac:dyDescent="0.25">
      <c r="B394" s="142"/>
      <c r="C394" s="28"/>
      <c r="D394" s="28"/>
      <c r="E394" s="29"/>
      <c r="F394" s="29"/>
      <c r="G394" s="29"/>
      <c r="H394" s="28"/>
    </row>
    <row r="395" spans="2:8" x14ac:dyDescent="0.25">
      <c r="B395" s="142"/>
      <c r="C395" s="28"/>
      <c r="D395" s="28"/>
      <c r="E395" s="29"/>
      <c r="F395" s="29"/>
      <c r="G395" s="29"/>
      <c r="H395" s="28"/>
    </row>
    <row r="396" spans="2:8" x14ac:dyDescent="0.25">
      <c r="B396" s="142"/>
      <c r="C396" s="28"/>
      <c r="D396" s="28"/>
      <c r="E396" s="29"/>
      <c r="F396" s="29"/>
      <c r="G396" s="29"/>
      <c r="H396" s="28"/>
    </row>
    <row r="397" spans="2:8" x14ac:dyDescent="0.25">
      <c r="B397" s="142"/>
      <c r="C397" s="28"/>
      <c r="D397" s="28"/>
      <c r="E397" s="29"/>
      <c r="F397" s="29"/>
      <c r="G397" s="29"/>
      <c r="H397" s="28"/>
    </row>
    <row r="398" spans="2:8" x14ac:dyDescent="0.25">
      <c r="B398" s="142"/>
      <c r="C398" s="28"/>
      <c r="D398" s="28"/>
      <c r="E398" s="29"/>
      <c r="F398" s="29"/>
      <c r="G398" s="29"/>
      <c r="H398" s="28"/>
    </row>
    <row r="399" spans="2:8" x14ac:dyDescent="0.25">
      <c r="B399" s="142"/>
      <c r="C399" s="28"/>
      <c r="D399" s="28"/>
      <c r="E399" s="29"/>
      <c r="F399" s="29"/>
      <c r="G399" s="29"/>
      <c r="H399" s="28"/>
    </row>
    <row r="400" spans="2:8" x14ac:dyDescent="0.25">
      <c r="B400" s="142"/>
      <c r="C400" s="28"/>
      <c r="D400" s="28"/>
      <c r="E400" s="29"/>
      <c r="F400" s="29"/>
      <c r="G400" s="29"/>
      <c r="H400" s="28"/>
    </row>
    <row r="401" spans="2:8" x14ac:dyDescent="0.25">
      <c r="B401" s="142"/>
      <c r="C401" s="28"/>
      <c r="D401" s="28"/>
      <c r="E401" s="29"/>
      <c r="F401" s="29"/>
      <c r="G401" s="29"/>
      <c r="H401" s="28"/>
    </row>
    <row r="402" spans="2:8" x14ac:dyDescent="0.25">
      <c r="B402" s="142"/>
      <c r="C402" s="28"/>
      <c r="D402" s="28"/>
      <c r="E402" s="29"/>
      <c r="F402" s="29"/>
      <c r="G402" s="29"/>
      <c r="H402" s="28"/>
    </row>
    <row r="403" spans="2:8" x14ac:dyDescent="0.25">
      <c r="B403" s="142"/>
      <c r="C403" s="28"/>
      <c r="D403" s="28"/>
      <c r="E403" s="29"/>
      <c r="F403" s="29"/>
      <c r="G403" s="29"/>
      <c r="H403" s="28"/>
    </row>
    <row r="404" spans="2:8" x14ac:dyDescent="0.25">
      <c r="B404" s="142"/>
      <c r="C404" s="28"/>
      <c r="D404" s="28"/>
      <c r="E404" s="29"/>
      <c r="F404" s="29"/>
      <c r="G404" s="29"/>
      <c r="H404" s="28"/>
    </row>
    <row r="405" spans="2:8" x14ac:dyDescent="0.25">
      <c r="B405" s="142"/>
      <c r="C405" s="28"/>
      <c r="D405" s="28"/>
      <c r="E405" s="29"/>
      <c r="F405" s="29"/>
      <c r="G405" s="29"/>
      <c r="H405" s="28"/>
    </row>
    <row r="406" spans="2:8" x14ac:dyDescent="0.25">
      <c r="B406" s="142"/>
      <c r="C406" s="28"/>
      <c r="D406" s="28"/>
      <c r="E406" s="29"/>
      <c r="F406" s="29"/>
      <c r="G406" s="29"/>
      <c r="H406" s="28"/>
    </row>
    <row r="407" spans="2:8" x14ac:dyDescent="0.25">
      <c r="B407" s="142"/>
      <c r="C407" s="28"/>
      <c r="D407" s="28"/>
      <c r="E407" s="29"/>
      <c r="F407" s="29"/>
      <c r="G407" s="29"/>
      <c r="H407" s="28"/>
    </row>
    <row r="408" spans="2:8" x14ac:dyDescent="0.25">
      <c r="B408" s="142"/>
      <c r="C408" s="28"/>
      <c r="D408" s="28"/>
      <c r="E408" s="29"/>
      <c r="F408" s="29"/>
      <c r="G408" s="29"/>
      <c r="H408" s="28"/>
    </row>
    <row r="409" spans="2:8" x14ac:dyDescent="0.25">
      <c r="B409" s="142"/>
      <c r="C409" s="28"/>
      <c r="D409" s="28"/>
      <c r="E409" s="29"/>
      <c r="F409" s="29"/>
      <c r="G409" s="29"/>
      <c r="H409" s="28"/>
    </row>
    <row r="410" spans="2:8" x14ac:dyDescent="0.25">
      <c r="B410" s="142"/>
      <c r="C410" s="28"/>
      <c r="D410" s="28"/>
      <c r="E410" s="29"/>
      <c r="F410" s="29"/>
      <c r="G410" s="29"/>
      <c r="H410" s="28"/>
    </row>
    <row r="411" spans="2:8" x14ac:dyDescent="0.25">
      <c r="B411" s="142"/>
      <c r="C411" s="28"/>
      <c r="D411" s="28"/>
      <c r="E411" s="29"/>
      <c r="F411" s="29"/>
      <c r="G411" s="29"/>
      <c r="H411" s="28"/>
    </row>
    <row r="412" spans="2:8" x14ac:dyDescent="0.25">
      <c r="B412" s="142"/>
      <c r="C412" s="28"/>
      <c r="D412" s="28"/>
      <c r="E412" s="29"/>
      <c r="F412" s="29"/>
      <c r="G412" s="29"/>
      <c r="H412" s="28"/>
    </row>
    <row r="413" spans="2:8" x14ac:dyDescent="0.25">
      <c r="B413" s="142"/>
      <c r="C413" s="28"/>
      <c r="D413" s="28"/>
      <c r="E413" s="29"/>
      <c r="F413" s="29"/>
      <c r="G413" s="29"/>
      <c r="H413" s="28"/>
    </row>
    <row r="414" spans="2:8" x14ac:dyDescent="0.25">
      <c r="B414" s="142"/>
      <c r="C414" s="28"/>
      <c r="D414" s="28"/>
      <c r="E414" s="29"/>
      <c r="F414" s="29"/>
      <c r="G414" s="29"/>
      <c r="H414" s="28"/>
    </row>
    <row r="415" spans="2:8" x14ac:dyDescent="0.25">
      <c r="B415" s="142"/>
      <c r="C415" s="28"/>
      <c r="D415" s="28"/>
      <c r="E415" s="29"/>
      <c r="F415" s="29"/>
      <c r="G415" s="29"/>
      <c r="H415" s="28"/>
    </row>
    <row r="416" spans="2:8" x14ac:dyDescent="0.25">
      <c r="B416" s="142"/>
      <c r="C416" s="28"/>
      <c r="D416" s="28"/>
      <c r="E416" s="29"/>
      <c r="F416" s="29"/>
      <c r="G416" s="29"/>
      <c r="H416" s="28"/>
    </row>
    <row r="417" spans="2:8" x14ac:dyDescent="0.25">
      <c r="B417" s="142"/>
      <c r="C417" s="28"/>
      <c r="D417" s="28"/>
      <c r="E417" s="29"/>
      <c r="F417" s="29"/>
      <c r="G417" s="29"/>
      <c r="H417" s="28"/>
    </row>
    <row r="418" spans="2:8" x14ac:dyDescent="0.25">
      <c r="B418" s="142"/>
      <c r="C418" s="28"/>
      <c r="D418" s="28"/>
      <c r="E418" s="29"/>
      <c r="F418" s="29"/>
      <c r="G418" s="29"/>
      <c r="H418" s="28"/>
    </row>
    <row r="419" spans="2:8" x14ac:dyDescent="0.25">
      <c r="B419" s="142"/>
      <c r="C419" s="28"/>
      <c r="D419" s="28"/>
      <c r="E419" s="29"/>
      <c r="F419" s="29"/>
      <c r="G419" s="29"/>
      <c r="H419" s="28"/>
    </row>
    <row r="420" spans="2:8" x14ac:dyDescent="0.25">
      <c r="B420" s="142"/>
      <c r="C420" s="28"/>
      <c r="D420" s="28"/>
      <c r="E420" s="29"/>
      <c r="F420" s="29"/>
      <c r="G420" s="29"/>
      <c r="H420" s="28"/>
    </row>
    <row r="421" spans="2:8" x14ac:dyDescent="0.25">
      <c r="B421" s="142"/>
      <c r="C421" s="28"/>
      <c r="D421" s="28"/>
      <c r="E421" s="29"/>
      <c r="F421" s="29"/>
      <c r="G421" s="29"/>
      <c r="H421" s="28"/>
    </row>
    <row r="422" spans="2:8" x14ac:dyDescent="0.25">
      <c r="B422" s="142"/>
      <c r="C422" s="28"/>
      <c r="D422" s="28"/>
      <c r="E422" s="29"/>
      <c r="F422" s="29"/>
      <c r="G422" s="29"/>
      <c r="H422" s="28"/>
    </row>
    <row r="423" spans="2:8" x14ac:dyDescent="0.25">
      <c r="B423" s="142"/>
      <c r="C423" s="28"/>
      <c r="D423" s="28"/>
      <c r="E423" s="29"/>
      <c r="F423" s="29"/>
      <c r="G423" s="29"/>
      <c r="H423" s="28"/>
    </row>
    <row r="424" spans="2:8" x14ac:dyDescent="0.25">
      <c r="B424" s="142"/>
      <c r="C424" s="28"/>
      <c r="D424" s="28"/>
      <c r="E424" s="29"/>
      <c r="F424" s="29"/>
      <c r="G424" s="29"/>
      <c r="H424" s="28"/>
    </row>
    <row r="425" spans="2:8" x14ac:dyDescent="0.25">
      <c r="B425" s="142"/>
      <c r="C425" s="28"/>
      <c r="D425" s="28"/>
      <c r="E425" s="29"/>
      <c r="F425" s="29"/>
      <c r="G425" s="29"/>
      <c r="H425" s="28"/>
    </row>
    <row r="426" spans="2:8" x14ac:dyDescent="0.25">
      <c r="B426" s="142"/>
      <c r="C426" s="28"/>
      <c r="D426" s="28"/>
      <c r="E426" s="29"/>
      <c r="F426" s="29"/>
      <c r="G426" s="29"/>
      <c r="H426" s="28"/>
    </row>
    <row r="427" spans="2:8" x14ac:dyDescent="0.25">
      <c r="B427" s="142"/>
      <c r="C427" s="28"/>
      <c r="D427" s="28"/>
      <c r="E427" s="29"/>
      <c r="F427" s="29"/>
      <c r="G427" s="29"/>
      <c r="H427" s="28"/>
    </row>
    <row r="428" spans="2:8" x14ac:dyDescent="0.25">
      <c r="B428" s="142"/>
      <c r="C428" s="28"/>
      <c r="D428" s="28"/>
      <c r="E428" s="29"/>
      <c r="F428" s="29"/>
      <c r="G428" s="29"/>
      <c r="H428" s="28"/>
    </row>
    <row r="429" spans="2:8" x14ac:dyDescent="0.25">
      <c r="B429" s="142"/>
      <c r="C429" s="28"/>
      <c r="D429" s="28"/>
      <c r="E429" s="29"/>
      <c r="F429" s="29"/>
      <c r="G429" s="29"/>
      <c r="H429" s="28"/>
    </row>
    <row r="430" spans="2:8" x14ac:dyDescent="0.25">
      <c r="B430" s="142"/>
      <c r="C430" s="28"/>
      <c r="D430" s="28"/>
      <c r="E430" s="29"/>
      <c r="F430" s="29"/>
      <c r="G430" s="29"/>
      <c r="H430" s="28"/>
    </row>
    <row r="431" spans="2:8" x14ac:dyDescent="0.25">
      <c r="B431" s="142"/>
      <c r="C431" s="28"/>
      <c r="D431" s="28"/>
      <c r="E431" s="29"/>
      <c r="F431" s="29"/>
      <c r="G431" s="29"/>
      <c r="H431" s="28"/>
    </row>
    <row r="432" spans="2:8" x14ac:dyDescent="0.25">
      <c r="B432" s="142"/>
      <c r="C432" s="28"/>
      <c r="D432" s="28"/>
      <c r="E432" s="29"/>
      <c r="F432" s="29"/>
      <c r="G432" s="29"/>
      <c r="H432" s="28"/>
    </row>
    <row r="433" spans="1:8" x14ac:dyDescent="0.25">
      <c r="B433" s="142"/>
      <c r="C433" s="28"/>
      <c r="D433" s="28"/>
      <c r="E433" s="29"/>
      <c r="F433" s="29"/>
      <c r="G433" s="29"/>
      <c r="H433" s="28"/>
    </row>
    <row r="434" spans="1:8" x14ac:dyDescent="0.25">
      <c r="B434" s="142"/>
      <c r="C434" s="28"/>
      <c r="D434" s="28"/>
      <c r="E434" s="29"/>
      <c r="F434" s="29"/>
      <c r="G434" s="29"/>
      <c r="H434" s="28"/>
    </row>
    <row r="435" spans="1:8" x14ac:dyDescent="0.25">
      <c r="B435" s="142"/>
      <c r="C435" s="28"/>
      <c r="D435" s="28"/>
      <c r="E435" s="29"/>
      <c r="F435" s="29"/>
      <c r="G435" s="29"/>
      <c r="H435" s="28"/>
    </row>
    <row r="436" spans="1:8" x14ac:dyDescent="0.25">
      <c r="B436" s="142"/>
      <c r="C436" s="28"/>
      <c r="D436" s="28"/>
      <c r="E436" s="29"/>
      <c r="F436" s="29"/>
      <c r="G436" s="29"/>
      <c r="H436" s="28"/>
    </row>
    <row r="437" spans="1:8" x14ac:dyDescent="0.25">
      <c r="B437" s="142"/>
      <c r="C437" s="28"/>
      <c r="D437" s="28"/>
      <c r="E437" s="29"/>
      <c r="F437" s="29"/>
      <c r="G437" s="29"/>
      <c r="H437" s="28"/>
    </row>
    <row r="438" spans="1:8" x14ac:dyDescent="0.25">
      <c r="B438" s="142"/>
      <c r="C438" s="28"/>
      <c r="D438" s="28"/>
      <c r="E438" s="29"/>
      <c r="F438" s="29"/>
      <c r="G438" s="29"/>
      <c r="H438" s="28"/>
    </row>
    <row r="439" spans="1:8" x14ac:dyDescent="0.25">
      <c r="B439" s="142"/>
      <c r="C439" s="28"/>
      <c r="D439" s="28"/>
      <c r="E439" s="29"/>
      <c r="F439" s="29"/>
      <c r="G439" s="29"/>
      <c r="H439" s="28"/>
    </row>
    <row r="440" spans="1:8" x14ac:dyDescent="0.25">
      <c r="B440" s="142"/>
      <c r="C440" s="28"/>
      <c r="D440" s="28"/>
      <c r="E440" s="29"/>
      <c r="F440" s="29"/>
      <c r="G440" s="29"/>
      <c r="H440" s="28"/>
    </row>
    <row r="441" spans="1:8" x14ac:dyDescent="0.25">
      <c r="B441" s="142"/>
      <c r="C441" s="28"/>
      <c r="D441" s="28"/>
      <c r="E441" s="29"/>
      <c r="F441" s="29"/>
      <c r="G441" s="29"/>
      <c r="H441" s="28"/>
    </row>
    <row r="442" spans="1:8" x14ac:dyDescent="0.25">
      <c r="B442" s="142"/>
      <c r="C442" s="28"/>
      <c r="D442" s="28"/>
      <c r="E442" s="29"/>
      <c r="F442" s="29"/>
      <c r="G442" s="29"/>
      <c r="H442" s="28"/>
    </row>
    <row r="443" spans="1:8" ht="29.1" customHeight="1" x14ac:dyDescent="0.25">
      <c r="A443" s="197" t="s">
        <v>1050</v>
      </c>
      <c r="B443" s="173"/>
      <c r="C443" s="173"/>
      <c r="D443" s="173"/>
      <c r="E443" s="173"/>
      <c r="F443" s="173"/>
      <c r="G443" s="173"/>
      <c r="H443" s="173"/>
    </row>
    <row r="444" spans="1:8" x14ac:dyDescent="0.25">
      <c r="A444" s="190" t="s">
        <v>112</v>
      </c>
      <c r="B444" s="191"/>
      <c r="C444" s="30">
        <f>SUMPRODUCT(--(Rules!$C$8:$C$442&lt;&gt;""))</f>
        <v>315</v>
      </c>
    </row>
    <row r="445" spans="1:8" x14ac:dyDescent="0.25">
      <c r="A445" s="190" t="s">
        <v>113</v>
      </c>
      <c r="B445" s="191"/>
      <c r="C445" s="30">
        <v>435</v>
      </c>
    </row>
    <row r="446" spans="1:8" x14ac:dyDescent="0.25">
      <c r="A446" s="190" t="s">
        <v>114</v>
      </c>
      <c r="B446" s="191"/>
      <c r="C446" s="30">
        <f>MAX(0,435-$C$444)</f>
        <v>120</v>
      </c>
    </row>
    <row r="447" spans="1:8" x14ac:dyDescent="0.25">
      <c r="A447" s="194" t="s">
        <v>115</v>
      </c>
      <c r="B447" s="191"/>
      <c r="C447" s="31" t="str">
        <f>IF($C$446&lt;=0,"FULL - no more rows can be entered",IF($C$446&lt;=15,"NEARLY FULL - contact Powell United","OK"))</f>
        <v>OK</v>
      </c>
      <c r="D447" s="193" t="s">
        <v>1051</v>
      </c>
      <c r="E447" s="173"/>
      <c r="F447" s="173"/>
      <c r="G447" s="173"/>
      <c r="H447" s="173"/>
    </row>
    <row r="448" spans="1:8" ht="8.1" customHeight="1" x14ac:dyDescent="0.25"/>
    <row r="449" spans="1:8" ht="20.100000000000001" customHeight="1" x14ac:dyDescent="0.25">
      <c r="A449" s="178" t="s">
        <v>1052</v>
      </c>
      <c r="B449" s="173"/>
      <c r="C449" s="173"/>
      <c r="D449" s="173"/>
      <c r="E449" s="173"/>
      <c r="F449" s="173"/>
      <c r="G449" s="173"/>
      <c r="H449" s="173"/>
    </row>
    <row r="450" spans="1:8" ht="30.6" customHeight="1" x14ac:dyDescent="0.25">
      <c r="A450" s="192" t="s">
        <v>1053</v>
      </c>
      <c r="B450" s="173"/>
      <c r="C450" s="173"/>
      <c r="D450" s="173"/>
      <c r="E450" s="173"/>
      <c r="F450" s="173"/>
      <c r="G450" s="173"/>
      <c r="H450" s="173"/>
    </row>
    <row r="451" spans="1:8" ht="8.1" customHeight="1" x14ac:dyDescent="0.25"/>
    <row r="452" spans="1:8" ht="24" customHeight="1" x14ac:dyDescent="0.25">
      <c r="A452" s="27"/>
      <c r="B452" s="27" t="s">
        <v>677</v>
      </c>
      <c r="C452" s="27" t="s">
        <v>1054</v>
      </c>
      <c r="D452" s="27" t="s">
        <v>469</v>
      </c>
      <c r="E452" s="27" t="s">
        <v>680</v>
      </c>
      <c r="F452" s="27" t="s">
        <v>1055</v>
      </c>
      <c r="G452" s="27" t="s">
        <v>1056</v>
      </c>
      <c r="H452" s="27" t="s">
        <v>1057</v>
      </c>
    </row>
    <row r="453" spans="1:8" x14ac:dyDescent="0.25">
      <c r="B453" s="29"/>
      <c r="C453" s="28"/>
      <c r="D453" s="28"/>
      <c r="E453" s="29"/>
      <c r="F453" s="29"/>
      <c r="G453" s="29"/>
      <c r="H453" s="28"/>
    </row>
    <row r="454" spans="1:8" x14ac:dyDescent="0.25">
      <c r="B454" s="29"/>
      <c r="C454" s="28"/>
      <c r="D454" s="28"/>
      <c r="E454" s="29"/>
      <c r="F454" s="29"/>
      <c r="G454" s="29"/>
      <c r="H454" s="28"/>
    </row>
    <row r="455" spans="1:8" x14ac:dyDescent="0.25">
      <c r="B455" s="29"/>
      <c r="C455" s="28"/>
      <c r="D455" s="28"/>
      <c r="E455" s="29"/>
      <c r="F455" s="29"/>
      <c r="G455" s="29"/>
      <c r="H455" s="28"/>
    </row>
    <row r="456" spans="1:8" x14ac:dyDescent="0.25">
      <c r="B456" s="29"/>
      <c r="C456" s="28"/>
      <c r="D456" s="28"/>
      <c r="E456" s="29"/>
      <c r="F456" s="29"/>
      <c r="G456" s="29"/>
      <c r="H456" s="28"/>
    </row>
    <row r="457" spans="1:8" x14ac:dyDescent="0.25">
      <c r="B457" s="29"/>
      <c r="C457" s="28"/>
      <c r="D457" s="28"/>
      <c r="E457" s="29"/>
      <c r="F457" s="29"/>
      <c r="G457" s="29"/>
      <c r="H457" s="28"/>
    </row>
    <row r="458" spans="1:8" x14ac:dyDescent="0.25">
      <c r="B458" s="29"/>
      <c r="C458" s="28"/>
      <c r="D458" s="28"/>
      <c r="E458" s="29"/>
      <c r="F458" s="29"/>
      <c r="G458" s="29"/>
      <c r="H458" s="28"/>
    </row>
    <row r="459" spans="1:8" x14ac:dyDescent="0.25">
      <c r="B459" s="29"/>
      <c r="C459" s="28"/>
      <c r="D459" s="28"/>
      <c r="E459" s="29"/>
      <c r="F459" s="29"/>
      <c r="G459" s="29"/>
      <c r="H459" s="28"/>
    </row>
    <row r="460" spans="1:8" x14ac:dyDescent="0.25">
      <c r="B460" s="29"/>
      <c r="C460" s="28"/>
      <c r="D460" s="28"/>
      <c r="E460" s="29"/>
      <c r="F460" s="29"/>
      <c r="G460" s="29"/>
      <c r="H460" s="28"/>
    </row>
    <row r="461" spans="1:8" x14ac:dyDescent="0.25">
      <c r="B461" s="29"/>
      <c r="C461" s="28"/>
      <c r="D461" s="28"/>
      <c r="E461" s="29"/>
      <c r="F461" s="29"/>
      <c r="G461" s="29"/>
      <c r="H461" s="28"/>
    </row>
    <row r="462" spans="1:8" x14ac:dyDescent="0.25">
      <c r="B462" s="29"/>
      <c r="C462" s="28"/>
      <c r="D462" s="28"/>
      <c r="E462" s="29"/>
      <c r="F462" s="29"/>
      <c r="G462" s="29"/>
      <c r="H462" s="28"/>
    </row>
    <row r="463" spans="1:8" x14ac:dyDescent="0.25">
      <c r="B463" s="29"/>
      <c r="C463" s="28"/>
      <c r="D463" s="28"/>
      <c r="E463" s="29"/>
      <c r="F463" s="29"/>
      <c r="G463" s="29"/>
      <c r="H463" s="28"/>
    </row>
    <row r="464" spans="1:8" x14ac:dyDescent="0.25">
      <c r="B464" s="29"/>
      <c r="C464" s="28"/>
      <c r="D464" s="28"/>
      <c r="E464" s="29"/>
      <c r="F464" s="29"/>
      <c r="G464" s="29"/>
      <c r="H464" s="28"/>
    </row>
    <row r="465" spans="2:8" x14ac:dyDescent="0.25">
      <c r="B465" s="29"/>
      <c r="C465" s="28"/>
      <c r="D465" s="28"/>
      <c r="E465" s="29"/>
      <c r="F465" s="29"/>
      <c r="G465" s="29"/>
      <c r="H465" s="28"/>
    </row>
    <row r="466" spans="2:8" x14ac:dyDescent="0.25">
      <c r="B466" s="29"/>
      <c r="C466" s="28"/>
      <c r="D466" s="28"/>
      <c r="E466" s="29"/>
      <c r="F466" s="29"/>
      <c r="G466" s="29"/>
      <c r="H466" s="28"/>
    </row>
    <row r="467" spans="2:8" x14ac:dyDescent="0.25">
      <c r="B467" s="29"/>
      <c r="C467" s="28"/>
      <c r="D467" s="28"/>
      <c r="E467" s="29"/>
      <c r="F467" s="29"/>
      <c r="G467" s="29"/>
      <c r="H467" s="28"/>
    </row>
    <row r="468" spans="2:8" x14ac:dyDescent="0.25">
      <c r="B468" s="29"/>
      <c r="C468" s="28"/>
      <c r="D468" s="28"/>
      <c r="E468" s="29"/>
      <c r="F468" s="29"/>
      <c r="G468" s="29"/>
      <c r="H468" s="28"/>
    </row>
    <row r="469" spans="2:8" x14ac:dyDescent="0.25">
      <c r="B469" s="29"/>
      <c r="C469" s="28"/>
      <c r="D469" s="28"/>
      <c r="E469" s="29"/>
      <c r="F469" s="29"/>
      <c r="G469" s="29"/>
      <c r="H469" s="28"/>
    </row>
    <row r="470" spans="2:8" x14ac:dyDescent="0.25">
      <c r="B470" s="29"/>
      <c r="C470" s="28"/>
      <c r="D470" s="28"/>
      <c r="E470" s="29"/>
      <c r="F470" s="29"/>
      <c r="G470" s="29"/>
      <c r="H470" s="28"/>
    </row>
    <row r="471" spans="2:8" x14ac:dyDescent="0.25">
      <c r="B471" s="29"/>
      <c r="C471" s="28"/>
      <c r="D471" s="28"/>
      <c r="E471" s="29"/>
      <c r="F471" s="29"/>
      <c r="G471" s="29"/>
      <c r="H471" s="28"/>
    </row>
    <row r="472" spans="2:8" x14ac:dyDescent="0.25">
      <c r="B472" s="29"/>
      <c r="C472" s="28"/>
      <c r="D472" s="28"/>
      <c r="E472" s="29"/>
      <c r="F472" s="29"/>
      <c r="G472" s="29"/>
      <c r="H472" s="28"/>
    </row>
    <row r="473" spans="2:8" x14ac:dyDescent="0.25">
      <c r="B473" s="29"/>
      <c r="C473" s="28"/>
      <c r="D473" s="28"/>
      <c r="E473" s="29"/>
      <c r="F473" s="29"/>
      <c r="G473" s="29"/>
      <c r="H473" s="28"/>
    </row>
    <row r="474" spans="2:8" x14ac:dyDescent="0.25">
      <c r="B474" s="29"/>
      <c r="C474" s="28"/>
      <c r="D474" s="28"/>
      <c r="E474" s="29"/>
      <c r="F474" s="29"/>
      <c r="G474" s="29"/>
      <c r="H474" s="28"/>
    </row>
    <row r="475" spans="2:8" x14ac:dyDescent="0.25">
      <c r="B475" s="29"/>
      <c r="C475" s="28"/>
      <c r="D475" s="28"/>
      <c r="E475" s="29"/>
      <c r="F475" s="29"/>
      <c r="G475" s="29"/>
      <c r="H475" s="28"/>
    </row>
    <row r="476" spans="2:8" x14ac:dyDescent="0.25">
      <c r="B476" s="29"/>
      <c r="C476" s="28"/>
      <c r="D476" s="28"/>
      <c r="E476" s="29"/>
      <c r="F476" s="29"/>
      <c r="G476" s="29"/>
      <c r="H476" s="28"/>
    </row>
    <row r="477" spans="2:8" x14ac:dyDescent="0.25">
      <c r="B477" s="29"/>
      <c r="C477" s="28"/>
      <c r="D477" s="28"/>
      <c r="E477" s="29"/>
      <c r="F477" s="29"/>
      <c r="G477" s="29"/>
      <c r="H477" s="28"/>
    </row>
    <row r="478" spans="2:8" x14ac:dyDescent="0.25">
      <c r="B478" s="29"/>
      <c r="C478" s="28"/>
      <c r="D478" s="28"/>
      <c r="E478" s="29"/>
      <c r="F478" s="29"/>
      <c r="G478" s="29"/>
      <c r="H478" s="28"/>
    </row>
    <row r="479" spans="2:8" x14ac:dyDescent="0.25">
      <c r="B479" s="29"/>
      <c r="C479" s="28"/>
      <c r="D479" s="28"/>
      <c r="E479" s="29"/>
      <c r="F479" s="29"/>
      <c r="G479" s="29"/>
      <c r="H479" s="28"/>
    </row>
    <row r="480" spans="2:8" x14ac:dyDescent="0.25">
      <c r="B480" s="29"/>
      <c r="C480" s="28"/>
      <c r="D480" s="28"/>
      <c r="E480" s="29"/>
      <c r="F480" s="29"/>
      <c r="G480" s="29"/>
      <c r="H480" s="28"/>
    </row>
    <row r="481" spans="1:8" x14ac:dyDescent="0.25">
      <c r="B481" s="29"/>
      <c r="C481" s="28"/>
      <c r="D481" s="28"/>
      <c r="E481" s="29"/>
      <c r="F481" s="29"/>
      <c r="G481" s="29"/>
      <c r="H481" s="28"/>
    </row>
    <row r="482" spans="1:8" x14ac:dyDescent="0.25">
      <c r="B482" s="29"/>
      <c r="C482" s="28"/>
      <c r="D482" s="28"/>
      <c r="E482" s="29"/>
      <c r="F482" s="29"/>
      <c r="G482" s="29"/>
      <c r="H482" s="28"/>
    </row>
    <row r="483" spans="1:8" ht="8.1" customHeight="1" x14ac:dyDescent="0.25"/>
    <row r="484" spans="1:8" ht="8.1" customHeight="1" x14ac:dyDescent="0.25"/>
    <row r="485" spans="1:8" ht="15.6" customHeight="1" x14ac:dyDescent="0.25">
      <c r="A485" s="187" t="s">
        <v>69</v>
      </c>
      <c r="B485" s="173"/>
      <c r="C485" s="173"/>
      <c r="D485" s="173"/>
      <c r="E485" s="173"/>
      <c r="F485" s="173"/>
      <c r="G485" s="173"/>
      <c r="H485" s="173"/>
    </row>
  </sheetData>
  <sheetProtection sheet="1" formatCells="0" formatColumns="0" formatRows="0" insertRows="0" deleteRows="0"/>
  <autoFilter ref="B7:H442" xr:uid="{00000000-0009-0000-0000-00000F000000}"/>
  <mergeCells count="13">
    <mergeCell ref="A1:H1"/>
    <mergeCell ref="A443:H443"/>
    <mergeCell ref="A3:H3"/>
    <mergeCell ref="A445:B445"/>
    <mergeCell ref="A446:B446"/>
    <mergeCell ref="A2:H2"/>
    <mergeCell ref="A450:H450"/>
    <mergeCell ref="A485:H485"/>
    <mergeCell ref="A444:B444"/>
    <mergeCell ref="A449:H449"/>
    <mergeCell ref="A5:H5"/>
    <mergeCell ref="A447:B447"/>
    <mergeCell ref="D447:H447"/>
  </mergeCells>
  <conditionalFormatting sqref="C447">
    <cfRule type="cellIs" dxfId="3" priority="1" operator="equal">
      <formula>"FULL - no more rows can be entered"</formula>
    </cfRule>
    <cfRule type="cellIs" dxfId="2" priority="2" operator="equal">
      <formula>"NEARLY FULL - contact Powell United"</formula>
    </cfRule>
    <cfRule type="cellIs" dxfId="1" priority="3" operator="equal">
      <formula>"OK"</formula>
    </cfRule>
  </conditionalFormatting>
  <dataValidations count="5">
    <dataValidation type="list" allowBlank="1" showInputMessage="1" promptTitle="Direction" prompt="In = deposits only. Out = payments only. Any = both." sqref="E323:E442" xr:uid="{00000000-0002-0000-0F00-000000000000}">
      <formula1>"In,Out,Any"</formula1>
    </dataValidation>
    <dataValidation type="list" allowBlank="1" showInputMessage="1" promptTitle="Scope" prompt="NOT YET ACTIVE - documentation only. Broad means mixed-use, and by convention such rules are mapped to a Review Required category, but nothing in the engine enforces that. Priority decides which rule wins." sqref="F323:F442" xr:uid="{00000000-0002-0000-0F00-000001000000}">
      <formula1>"Specific,Broad"</formula1>
    </dataValidation>
    <dataValidation type="list" allowBlank="1" showInputMessage="1" promptTitle="Active" prompt="No switches the rule off without deleting it." sqref="G8:G442" xr:uid="{00000000-0002-0000-0F00-000002000000}">
      <formula1>"Yes,No"</formula1>
    </dataValidation>
    <dataValidation type="list" allowBlank="1" showInputMessage="1" promptTitle="Category" prompt="Grouped. A --- LABEL --- line is not a category; if you pick one the rule is flagged as not found." sqref="D323:D442" xr:uid="{00000000-0002-0000-0F00-000003000000}">
      <formula1>Cat_Pick</formula1>
    </dataValidation>
    <dataValidation type="list" allowBlank="1" showInputMessage="1" promptTitle="Approved?" prompt="Tracking only. Changing this does not activate the rule - you must copy it into the active table." sqref="G453:G482" xr:uid="{00000000-0002-0000-0F00-000004000000}">
      <formula1>"Not reviewed,Rejected,Copied into active rules"</formula1>
    </dataValidation>
  </dataValidation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A6A6A6"/>
  </sheetPr>
  <dimension ref="A1:H443"/>
  <sheetViews>
    <sheetView showGridLines="0" workbookViewId="0">
      <pane ySplit="6" topLeftCell="A7" activePane="bottomLeft" state="frozen"/>
      <selection pane="bottomLeft"/>
    </sheetView>
  </sheetViews>
  <sheetFormatPr defaultRowHeight="15" x14ac:dyDescent="0.25"/>
  <cols>
    <col min="1" max="1" width="3" customWidth="1"/>
    <col min="2" max="2" width="10" customWidth="1"/>
    <col min="3" max="3" width="30" customWidth="1"/>
    <col min="4" max="4" width="42" customWidth="1"/>
    <col min="5" max="5" width="13" customWidth="1"/>
    <col min="6" max="7" width="12" customWidth="1"/>
    <col min="8" max="8" width="62" customWidth="1"/>
  </cols>
  <sheetData>
    <row r="1" spans="1:8" ht="27.95" customHeight="1" x14ac:dyDescent="0.25">
      <c r="A1" s="174" t="s">
        <v>1058</v>
      </c>
      <c r="B1" s="173"/>
      <c r="C1" s="173"/>
      <c r="D1" s="173"/>
      <c r="E1" s="173"/>
      <c r="F1" s="173"/>
      <c r="G1" s="173"/>
      <c r="H1" s="173"/>
    </row>
    <row r="2" spans="1:8" ht="17.100000000000001" customHeight="1" x14ac:dyDescent="0.25">
      <c r="A2" s="188" t="s">
        <v>1059</v>
      </c>
      <c r="B2" s="173"/>
      <c r="C2" s="173"/>
      <c r="D2" s="173"/>
      <c r="E2" s="173"/>
      <c r="F2" s="173"/>
      <c r="G2" s="173"/>
      <c r="H2" s="173"/>
    </row>
    <row r="3" spans="1:8" ht="14.1" customHeight="1" x14ac:dyDescent="0.25">
      <c r="A3" s="179" t="s">
        <v>2</v>
      </c>
      <c r="B3" s="173"/>
      <c r="C3" s="173"/>
      <c r="D3" s="173"/>
      <c r="E3" s="173"/>
      <c r="F3" s="173"/>
      <c r="G3" s="173"/>
      <c r="H3" s="173"/>
    </row>
    <row r="4" spans="1:8" ht="8.1" customHeight="1" x14ac:dyDescent="0.25"/>
    <row r="5" spans="1:8" ht="8.1" customHeight="1" x14ac:dyDescent="0.25"/>
    <row r="6" spans="1:8" ht="24" customHeight="1" x14ac:dyDescent="0.25">
      <c r="A6" s="27"/>
      <c r="B6" s="27" t="s">
        <v>677</v>
      </c>
      <c r="C6" s="27" t="s">
        <v>1054</v>
      </c>
      <c r="D6" s="27" t="s">
        <v>469</v>
      </c>
      <c r="E6" s="27" t="s">
        <v>680</v>
      </c>
      <c r="F6" s="27" t="s">
        <v>682</v>
      </c>
      <c r="G6" s="27" t="s">
        <v>1060</v>
      </c>
      <c r="H6" s="27" t="s">
        <v>1061</v>
      </c>
    </row>
    <row r="7" spans="1:8" x14ac:dyDescent="0.25">
      <c r="B7" s="73">
        <f>IF(Rules!$C$8="","",Rules!$B$8)</f>
        <v>200</v>
      </c>
      <c r="C7" s="143" t="str">
        <f>IF(Rules!$C$8="","",Rules!$C$8)</f>
        <v>BLUE CROSS</v>
      </c>
      <c r="D7" s="143" t="str">
        <f>IF(Rules!$C$8="","",Rules!$D$8)</f>
        <v>Patient Fees - Insurance Reimbursement</v>
      </c>
      <c r="E7" s="73" t="str">
        <f>IF(Rules!$C$8="","",Rules!$E$8)</f>
        <v>In</v>
      </c>
      <c r="F7" s="73" t="str">
        <f>IF(Rules!$C$8="","",Rules!$G$8)</f>
        <v>Yes</v>
      </c>
      <c r="G7" s="144">
        <v>8</v>
      </c>
      <c r="H7" s="145" t="str">
        <f>IF(Rules!$C$8="","",TRIM(IF(COUNTIFS(Rules_Key,Rules!$C$8,Rules_Dir,Rules!$E$8)&gt;1,"Duplicate keyword+direction. ","")&amp;IF(LEN(Rules!$C$8)&lt;5,"Keyword under 5 characters - matches too much. ","")&amp;IF(AND(Rules!$D$8&lt;&gt;"",COUNTIF(Cat_Name,Rules!$D$8)=0),"Category is not on the Categories sheet - rows will fall to Review Required. ","")&amp;IF(Rules!$F$8="Broad","Broad scope - deliberately forces Review Required. ","")&amp;IF(Rules!$G$8&lt;&gt;"Yes","Rule is switched OFF. ","")&amp;IF(AND(Rules!$C$8&lt;&gt;"",Rules!$D$8=""),"Keyword with no category. ","")))</f>
        <v/>
      </c>
    </row>
    <row r="8" spans="1:8" x14ac:dyDescent="0.25">
      <c r="B8" s="75">
        <f>IF(Rules!$C$9="","",Rules!$B$9)</f>
        <v>200</v>
      </c>
      <c r="C8" s="146" t="str">
        <f>IF(Rules!$C$9="","",Rules!$C$9)</f>
        <v>BCBS</v>
      </c>
      <c r="D8" s="146" t="str">
        <f>IF(Rules!$C$9="","",Rules!$D$9)</f>
        <v>Patient Fees - Insurance Reimbursement</v>
      </c>
      <c r="E8" s="75" t="str">
        <f>IF(Rules!$C$9="","",Rules!$E$9)</f>
        <v>In</v>
      </c>
      <c r="F8" s="75" t="str">
        <f>IF(Rules!$C$9="","",Rules!$G$9)</f>
        <v>Yes</v>
      </c>
      <c r="G8" s="147">
        <v>9</v>
      </c>
      <c r="H8" s="148" t="str">
        <f>IF(Rules!$C$9="","",TRIM(IF(COUNTIFS(Rules_Key,Rules!$C$9,Rules_Dir,Rules!$E$9)&gt;1,"Duplicate keyword+direction. ","")&amp;IF(LEN(Rules!$C$9)&lt;5,"Keyword under 5 characters - matches too much. ","")&amp;IF(AND(Rules!$D$9&lt;&gt;"",COUNTIF(Cat_Name,Rules!$D$9)=0),"Category is not on the Categories sheet - rows will fall to Review Required. ","")&amp;IF(Rules!$F$9="Broad","Broad scope - deliberately forces Review Required. ","")&amp;IF(Rules!$G$9&lt;&gt;"Yes","Rule is switched OFF. ","")&amp;IF(AND(Rules!$C$9&lt;&gt;"",Rules!$D$9=""),"Keyword with no category. ","")))</f>
        <v>Keyword under 5 characters - matches too much.</v>
      </c>
    </row>
    <row r="9" spans="1:8" x14ac:dyDescent="0.25">
      <c r="B9" s="73">
        <f>IF(Rules!$C$10="","",Rules!$B$10)</f>
        <v>200</v>
      </c>
      <c r="C9" s="143" t="str">
        <f>IF(Rules!$C$10="","",Rules!$C$10)</f>
        <v>AETNA</v>
      </c>
      <c r="D9" s="143" t="str">
        <f>IF(Rules!$C$10="","",Rules!$D$10)</f>
        <v>Patient Fees - Insurance Reimbursement</v>
      </c>
      <c r="E9" s="73" t="str">
        <f>IF(Rules!$C$10="","",Rules!$E$10)</f>
        <v>In</v>
      </c>
      <c r="F9" s="73" t="str">
        <f>IF(Rules!$C$10="","",Rules!$G$10)</f>
        <v>Yes</v>
      </c>
      <c r="G9" s="144">
        <v>10</v>
      </c>
      <c r="H9" s="145" t="str">
        <f>IF(Rules!$C$10="","",TRIM(IF(COUNTIFS(Rules_Key,Rules!$C$10,Rules_Dir,Rules!$E$10)&gt;1,"Duplicate keyword+direction. ","")&amp;IF(LEN(Rules!$C$10)&lt;5,"Keyword under 5 characters - matches too much. ","")&amp;IF(AND(Rules!$D$10&lt;&gt;"",COUNTIF(Cat_Name,Rules!$D$10)=0),"Category is not on the Categories sheet - rows will fall to Review Required. ","")&amp;IF(Rules!$F$10="Broad","Broad scope - deliberately forces Review Required. ","")&amp;IF(Rules!$G$10&lt;&gt;"Yes","Rule is switched OFF. ","")&amp;IF(AND(Rules!$C$10&lt;&gt;"",Rules!$D$10=""),"Keyword with no category. ","")))</f>
        <v/>
      </c>
    </row>
    <row r="10" spans="1:8" x14ac:dyDescent="0.25">
      <c r="B10" s="75">
        <f>IF(Rules!$C$11="","",Rules!$B$11)</f>
        <v>200</v>
      </c>
      <c r="C10" s="146" t="str">
        <f>IF(Rules!$C$11="","",Rules!$C$11)</f>
        <v>CIGNA</v>
      </c>
      <c r="D10" s="146" t="str">
        <f>IF(Rules!$C$11="","",Rules!$D$11)</f>
        <v>Patient Fees - Insurance Reimbursement</v>
      </c>
      <c r="E10" s="75" t="str">
        <f>IF(Rules!$C$11="","",Rules!$E$11)</f>
        <v>In</v>
      </c>
      <c r="F10" s="75" t="str">
        <f>IF(Rules!$C$11="","",Rules!$G$11)</f>
        <v>Yes</v>
      </c>
      <c r="G10" s="147">
        <v>11</v>
      </c>
      <c r="H10" s="148" t="str">
        <f>IF(Rules!$C$11="","",TRIM(IF(COUNTIFS(Rules_Key,Rules!$C$11,Rules_Dir,Rules!$E$11)&gt;1,"Duplicate keyword+direction. ","")&amp;IF(LEN(Rules!$C$11)&lt;5,"Keyword under 5 characters - matches too much. ","")&amp;IF(AND(Rules!$D$11&lt;&gt;"",COUNTIF(Cat_Name,Rules!$D$11)=0),"Category is not on the Categories sheet - rows will fall to Review Required. ","")&amp;IF(Rules!$F$11="Broad","Broad scope - deliberately forces Review Required. ","")&amp;IF(Rules!$G$11&lt;&gt;"Yes","Rule is switched OFF. ","")&amp;IF(AND(Rules!$C$11&lt;&gt;"",Rules!$D$11=""),"Keyword with no category. ","")))</f>
        <v/>
      </c>
    </row>
    <row r="11" spans="1:8" x14ac:dyDescent="0.25">
      <c r="B11" s="73">
        <f>IF(Rules!$C$12="","",Rules!$B$12)</f>
        <v>200</v>
      </c>
      <c r="C11" s="143" t="str">
        <f>IF(Rules!$C$12="","",Rules!$C$12)</f>
        <v>UNITEDHEALTH</v>
      </c>
      <c r="D11" s="143" t="str">
        <f>IF(Rules!$C$12="","",Rules!$D$12)</f>
        <v>Patient Fees - Insurance Reimbursement</v>
      </c>
      <c r="E11" s="73" t="str">
        <f>IF(Rules!$C$12="","",Rules!$E$12)</f>
        <v>In</v>
      </c>
      <c r="F11" s="73" t="str">
        <f>IF(Rules!$C$12="","",Rules!$G$12)</f>
        <v>Yes</v>
      </c>
      <c r="G11" s="144">
        <v>12</v>
      </c>
      <c r="H11" s="145" t="str">
        <f>IF(Rules!$C$12="","",TRIM(IF(COUNTIFS(Rules_Key,Rules!$C$12,Rules_Dir,Rules!$E$12)&gt;1,"Duplicate keyword+direction. ","")&amp;IF(LEN(Rules!$C$12)&lt;5,"Keyword under 5 characters - matches too much. ","")&amp;IF(AND(Rules!$D$12&lt;&gt;"",COUNTIF(Cat_Name,Rules!$D$12)=0),"Category is not on the Categories sheet - rows will fall to Review Required. ","")&amp;IF(Rules!$F$12="Broad","Broad scope - deliberately forces Review Required. ","")&amp;IF(Rules!$G$12&lt;&gt;"Yes","Rule is switched OFF. ","")&amp;IF(AND(Rules!$C$12&lt;&gt;"",Rules!$D$12=""),"Keyword with no category. ","")))</f>
        <v/>
      </c>
    </row>
    <row r="12" spans="1:8" x14ac:dyDescent="0.25">
      <c r="B12" s="75">
        <f>IF(Rules!$C$13="","",Rules!$B$13)</f>
        <v>200</v>
      </c>
      <c r="C12" s="146" t="str">
        <f>IF(Rules!$C$13="","",Rules!$C$13)</f>
        <v>HUMANA</v>
      </c>
      <c r="D12" s="146" t="str">
        <f>IF(Rules!$C$13="","",Rules!$D$13)</f>
        <v>Patient Fees - Insurance Reimbursement</v>
      </c>
      <c r="E12" s="75" t="str">
        <f>IF(Rules!$C$13="","",Rules!$E$13)</f>
        <v>In</v>
      </c>
      <c r="F12" s="75" t="str">
        <f>IF(Rules!$C$13="","",Rules!$G$13)</f>
        <v>Yes</v>
      </c>
      <c r="G12" s="147">
        <v>13</v>
      </c>
      <c r="H12" s="148" t="str">
        <f>IF(Rules!$C$13="","",TRIM(IF(COUNTIFS(Rules_Key,Rules!$C$13,Rules_Dir,Rules!$E$13)&gt;1,"Duplicate keyword+direction. ","")&amp;IF(LEN(Rules!$C$13)&lt;5,"Keyword under 5 characters - matches too much. ","")&amp;IF(AND(Rules!$D$13&lt;&gt;"",COUNTIF(Cat_Name,Rules!$D$13)=0),"Category is not on the Categories sheet - rows will fall to Review Required. ","")&amp;IF(Rules!$F$13="Broad","Broad scope - deliberately forces Review Required. ","")&amp;IF(Rules!$G$13&lt;&gt;"Yes","Rule is switched OFF. ","")&amp;IF(AND(Rules!$C$13&lt;&gt;"",Rules!$D$13=""),"Keyword with no category. ","")))</f>
        <v/>
      </c>
    </row>
    <row r="13" spans="1:8" x14ac:dyDescent="0.25">
      <c r="B13" s="73">
        <f>IF(Rules!$C$14="","",Rules!$B$14)</f>
        <v>200</v>
      </c>
      <c r="C13" s="143" t="str">
        <f>IF(Rules!$C$14="","",Rules!$C$14)</f>
        <v>DELTA DENTAL</v>
      </c>
      <c r="D13" s="143" t="str">
        <f>IF(Rules!$C$14="","",Rules!$D$14)</f>
        <v>Patient Fees - Insurance Reimbursement</v>
      </c>
      <c r="E13" s="73" t="str">
        <f>IF(Rules!$C$14="","",Rules!$E$14)</f>
        <v>In</v>
      </c>
      <c r="F13" s="73" t="str">
        <f>IF(Rules!$C$14="","",Rules!$G$14)</f>
        <v>Yes</v>
      </c>
      <c r="G13" s="144">
        <v>14</v>
      </c>
      <c r="H13" s="145" t="str">
        <f>IF(Rules!$C$14="","",TRIM(IF(COUNTIFS(Rules_Key,Rules!$C$14,Rules_Dir,Rules!$E$14)&gt;1,"Duplicate keyword+direction. ","")&amp;IF(LEN(Rules!$C$14)&lt;5,"Keyword under 5 characters - matches too much. ","")&amp;IF(AND(Rules!$D$14&lt;&gt;"",COUNTIF(Cat_Name,Rules!$D$14)=0),"Category is not on the Categories sheet - rows will fall to Review Required. ","")&amp;IF(Rules!$F$14="Broad","Broad scope - deliberately forces Review Required. ","")&amp;IF(Rules!$G$14&lt;&gt;"Yes","Rule is switched OFF. ","")&amp;IF(AND(Rules!$C$14&lt;&gt;"",Rules!$D$14=""),"Keyword with no category. ","")))</f>
        <v/>
      </c>
    </row>
    <row r="14" spans="1:8" x14ac:dyDescent="0.25">
      <c r="B14" s="75">
        <f>IF(Rules!$C$15="","",Rules!$B$15)</f>
        <v>200</v>
      </c>
      <c r="C14" s="146" t="str">
        <f>IF(Rules!$C$15="","",Rules!$C$15)</f>
        <v>VSP</v>
      </c>
      <c r="D14" s="146" t="str">
        <f>IF(Rules!$C$15="","",Rules!$D$15)</f>
        <v>Patient Fees - Insurance Reimbursement</v>
      </c>
      <c r="E14" s="75" t="str">
        <f>IF(Rules!$C$15="","",Rules!$E$15)</f>
        <v>In</v>
      </c>
      <c r="F14" s="75" t="str">
        <f>IF(Rules!$C$15="","",Rules!$G$15)</f>
        <v>Yes</v>
      </c>
      <c r="G14" s="147">
        <v>15</v>
      </c>
      <c r="H14" s="148" t="str">
        <f>IF(Rules!$C$15="","",TRIM(IF(COUNTIFS(Rules_Key,Rules!$C$15,Rules_Dir,Rules!$E$15)&gt;1,"Duplicate keyword+direction. ","")&amp;IF(LEN(Rules!$C$15)&lt;5,"Keyword under 5 characters - matches too much. ","")&amp;IF(AND(Rules!$D$15&lt;&gt;"",COUNTIF(Cat_Name,Rules!$D$15)=0),"Category is not on the Categories sheet - rows will fall to Review Required. ","")&amp;IF(Rules!$F$15="Broad","Broad scope - deliberately forces Review Required. ","")&amp;IF(Rules!$G$15&lt;&gt;"Yes","Rule is switched OFF. ","")&amp;IF(AND(Rules!$C$15&lt;&gt;"",Rules!$D$15=""),"Keyword with no category. ","")))</f>
        <v>Keyword under 5 characters - matches too much.</v>
      </c>
    </row>
    <row r="15" spans="1:8" x14ac:dyDescent="0.25">
      <c r="B15" s="73">
        <f>IF(Rules!$C$16="","",Rules!$B$16)</f>
        <v>200</v>
      </c>
      <c r="C15" s="143" t="str">
        <f>IF(Rules!$C$16="","",Rules!$C$16)</f>
        <v>METLIFE</v>
      </c>
      <c r="D15" s="143" t="str">
        <f>IF(Rules!$C$16="","",Rules!$D$16)</f>
        <v>Patient Fees - Insurance Reimbursement</v>
      </c>
      <c r="E15" s="73" t="str">
        <f>IF(Rules!$C$16="","",Rules!$E$16)</f>
        <v>In</v>
      </c>
      <c r="F15" s="73" t="str">
        <f>IF(Rules!$C$16="","",Rules!$G$16)</f>
        <v>Yes</v>
      </c>
      <c r="G15" s="144">
        <v>16</v>
      </c>
      <c r="H15" s="145" t="str">
        <f>IF(Rules!$C$16="","",TRIM(IF(COUNTIFS(Rules_Key,Rules!$C$16,Rules_Dir,Rules!$E$16)&gt;1,"Duplicate keyword+direction. ","")&amp;IF(LEN(Rules!$C$16)&lt;5,"Keyword under 5 characters - matches too much. ","")&amp;IF(AND(Rules!$D$16&lt;&gt;"",COUNTIF(Cat_Name,Rules!$D$16)=0),"Category is not on the Categories sheet - rows will fall to Review Required. ","")&amp;IF(Rules!$F$16="Broad","Broad scope - deliberately forces Review Required. ","")&amp;IF(Rules!$G$16&lt;&gt;"Yes","Rule is switched OFF. ","")&amp;IF(AND(Rules!$C$16&lt;&gt;"",Rules!$D$16=""),"Keyword with no category. ","")))</f>
        <v/>
      </c>
    </row>
    <row r="16" spans="1:8" x14ac:dyDescent="0.25">
      <c r="B16" s="75">
        <f>IF(Rules!$C$17="","",Rules!$B$17)</f>
        <v>200</v>
      </c>
      <c r="C16" s="146" t="str">
        <f>IF(Rules!$C$17="","",Rules!$C$17)</f>
        <v>GUARDIAN</v>
      </c>
      <c r="D16" s="146" t="str">
        <f>IF(Rules!$C$17="","",Rules!$D$17)</f>
        <v>Patient Fees - Insurance Reimbursement</v>
      </c>
      <c r="E16" s="75" t="str">
        <f>IF(Rules!$C$17="","",Rules!$E$17)</f>
        <v>In</v>
      </c>
      <c r="F16" s="75" t="str">
        <f>IF(Rules!$C$17="","",Rules!$G$17)</f>
        <v>Yes</v>
      </c>
      <c r="G16" s="147">
        <v>17</v>
      </c>
      <c r="H16" s="148" t="str">
        <f>IF(Rules!$C$17="","",TRIM(IF(COUNTIFS(Rules_Key,Rules!$C$17,Rules_Dir,Rules!$E$17)&gt;1,"Duplicate keyword+direction. ","")&amp;IF(LEN(Rules!$C$17)&lt;5,"Keyword under 5 characters - matches too much. ","")&amp;IF(AND(Rules!$D$17&lt;&gt;"",COUNTIF(Cat_Name,Rules!$D$17)=0),"Category is not on the Categories sheet - rows will fall to Review Required. ","")&amp;IF(Rules!$F$17="Broad","Broad scope - deliberately forces Review Required. ","")&amp;IF(Rules!$G$17&lt;&gt;"Yes","Rule is switched OFF. ","")&amp;IF(AND(Rules!$C$17&lt;&gt;"",Rules!$D$17=""),"Keyword with no category. ","")))</f>
        <v/>
      </c>
    </row>
    <row r="17" spans="2:8" x14ac:dyDescent="0.25">
      <c r="B17" s="73">
        <f>IF(Rules!$C$18="","",Rules!$B$18)</f>
        <v>200</v>
      </c>
      <c r="C17" s="143" t="str">
        <f>IF(Rules!$C$18="","",Rules!$C$18)</f>
        <v>UNITED CONCORDIA</v>
      </c>
      <c r="D17" s="143" t="str">
        <f>IF(Rules!$C$18="","",Rules!$D$18)</f>
        <v>Patient Fees - Insurance Reimbursement</v>
      </c>
      <c r="E17" s="73" t="str">
        <f>IF(Rules!$C$18="","",Rules!$E$18)</f>
        <v>In</v>
      </c>
      <c r="F17" s="73" t="str">
        <f>IF(Rules!$C$18="","",Rules!$G$18)</f>
        <v>Yes</v>
      </c>
      <c r="G17" s="144">
        <v>18</v>
      </c>
      <c r="H17" s="145" t="str">
        <f>IF(Rules!$C$18="","",TRIM(IF(COUNTIFS(Rules_Key,Rules!$C$18,Rules_Dir,Rules!$E$18)&gt;1,"Duplicate keyword+direction. ","")&amp;IF(LEN(Rules!$C$18)&lt;5,"Keyword under 5 characters - matches too much. ","")&amp;IF(AND(Rules!$D$18&lt;&gt;"",COUNTIF(Cat_Name,Rules!$D$18)=0),"Category is not on the Categories sheet - rows will fall to Review Required. ","")&amp;IF(Rules!$F$18="Broad","Broad scope - deliberately forces Review Required. ","")&amp;IF(Rules!$G$18&lt;&gt;"Yes","Rule is switched OFF. ","")&amp;IF(AND(Rules!$C$18&lt;&gt;"",Rules!$D$18=""),"Keyword with no category. ","")))</f>
        <v/>
      </c>
    </row>
    <row r="18" spans="2:8" x14ac:dyDescent="0.25">
      <c r="B18" s="75">
        <f>IF(Rules!$C$19="","",Rules!$B$19)</f>
        <v>200</v>
      </c>
      <c r="C18" s="146" t="str">
        <f>IF(Rules!$C$19="","",Rules!$C$19)</f>
        <v>EYEMED</v>
      </c>
      <c r="D18" s="146" t="str">
        <f>IF(Rules!$C$19="","",Rules!$D$19)</f>
        <v>Patient Fees - Insurance Reimbursement</v>
      </c>
      <c r="E18" s="75" t="str">
        <f>IF(Rules!$C$19="","",Rules!$E$19)</f>
        <v>In</v>
      </c>
      <c r="F18" s="75" t="str">
        <f>IF(Rules!$C$19="","",Rules!$G$19)</f>
        <v>Yes</v>
      </c>
      <c r="G18" s="147">
        <v>19</v>
      </c>
      <c r="H18" s="148" t="str">
        <f>IF(Rules!$C$19="","",TRIM(IF(COUNTIFS(Rules_Key,Rules!$C$19,Rules_Dir,Rules!$E$19)&gt;1,"Duplicate keyword+direction. ","")&amp;IF(LEN(Rules!$C$19)&lt;5,"Keyword under 5 characters - matches too much. ","")&amp;IF(AND(Rules!$D$19&lt;&gt;"",COUNTIF(Cat_Name,Rules!$D$19)=0),"Category is not on the Categories sheet - rows will fall to Review Required. ","")&amp;IF(Rules!$F$19="Broad","Broad scope - deliberately forces Review Required. ","")&amp;IF(Rules!$G$19&lt;&gt;"Yes","Rule is switched OFF. ","")&amp;IF(AND(Rules!$C$19&lt;&gt;"",Rules!$D$19=""),"Keyword with no category. ","")))</f>
        <v/>
      </c>
    </row>
    <row r="19" spans="2:8" x14ac:dyDescent="0.25">
      <c r="B19" s="73">
        <f>IF(Rules!$C$20="","",Rules!$B$20)</f>
        <v>200</v>
      </c>
      <c r="C19" s="143" t="str">
        <f>IF(Rules!$C$20="","",Rules!$C$20)</f>
        <v>PRINCIPAL LIFE</v>
      </c>
      <c r="D19" s="143" t="str">
        <f>IF(Rules!$C$20="","",Rules!$D$20)</f>
        <v>Patient Fees - Insurance Reimbursement</v>
      </c>
      <c r="E19" s="73" t="str">
        <f>IF(Rules!$C$20="","",Rules!$E$20)</f>
        <v>In</v>
      </c>
      <c r="F19" s="73" t="str">
        <f>IF(Rules!$C$20="","",Rules!$G$20)</f>
        <v>Yes</v>
      </c>
      <c r="G19" s="144">
        <v>20</v>
      </c>
      <c r="H19" s="145" t="str">
        <f>IF(Rules!$C$20="","",TRIM(IF(COUNTIFS(Rules_Key,Rules!$C$20,Rules_Dir,Rules!$E$20)&gt;1,"Duplicate keyword+direction. ","")&amp;IF(LEN(Rules!$C$20)&lt;5,"Keyword under 5 characters - matches too much. ","")&amp;IF(AND(Rules!$D$20&lt;&gt;"",COUNTIF(Cat_Name,Rules!$D$20)=0),"Category is not on the Categories sheet - rows will fall to Review Required. ","")&amp;IF(Rules!$F$20="Broad","Broad scope - deliberately forces Review Required. ","")&amp;IF(Rules!$G$20&lt;&gt;"Yes","Rule is switched OFF. ","")&amp;IF(AND(Rules!$C$20&lt;&gt;"",Rules!$D$20=""),"Keyword with no category. ","")))</f>
        <v/>
      </c>
    </row>
    <row r="20" spans="2:8" x14ac:dyDescent="0.25">
      <c r="B20" s="75">
        <f>IF(Rules!$C$21="","",Rules!$B$21)</f>
        <v>200</v>
      </c>
      <c r="C20" s="146" t="str">
        <f>IF(Rules!$C$21="","",Rules!$C$21)</f>
        <v>AMERITAS</v>
      </c>
      <c r="D20" s="146" t="str">
        <f>IF(Rules!$C$21="","",Rules!$D$21)</f>
        <v>Patient Fees - Insurance Reimbursement</v>
      </c>
      <c r="E20" s="75" t="str">
        <f>IF(Rules!$C$21="","",Rules!$E$21)</f>
        <v>In</v>
      </c>
      <c r="F20" s="75" t="str">
        <f>IF(Rules!$C$21="","",Rules!$G$21)</f>
        <v>Yes</v>
      </c>
      <c r="G20" s="147">
        <v>21</v>
      </c>
      <c r="H20" s="148" t="str">
        <f>IF(Rules!$C$21="","",TRIM(IF(COUNTIFS(Rules_Key,Rules!$C$21,Rules_Dir,Rules!$E$21)&gt;1,"Duplicate keyword+direction. ","")&amp;IF(LEN(Rules!$C$21)&lt;5,"Keyword under 5 characters - matches too much. ","")&amp;IF(AND(Rules!$D$21&lt;&gt;"",COUNTIF(Cat_Name,Rules!$D$21)=0),"Category is not on the Categories sheet - rows will fall to Review Required. ","")&amp;IF(Rules!$F$21="Broad","Broad scope - deliberately forces Review Required. ","")&amp;IF(Rules!$G$21&lt;&gt;"Yes","Rule is switched OFF. ","")&amp;IF(AND(Rules!$C$21&lt;&gt;"",Rules!$D$21=""),"Keyword with no category. ","")))</f>
        <v/>
      </c>
    </row>
    <row r="21" spans="2:8" x14ac:dyDescent="0.25">
      <c r="B21" s="73">
        <f>IF(Rules!$C$22="","",Rules!$B$22)</f>
        <v>200</v>
      </c>
      <c r="C21" s="143" t="str">
        <f>IF(Rules!$C$22="","",Rules!$C$22)</f>
        <v>DENTEMAX</v>
      </c>
      <c r="D21" s="143" t="str">
        <f>IF(Rules!$C$22="","",Rules!$D$22)</f>
        <v>Patient Fees - Insurance Reimbursement</v>
      </c>
      <c r="E21" s="73" t="str">
        <f>IF(Rules!$C$22="","",Rules!$E$22)</f>
        <v>In</v>
      </c>
      <c r="F21" s="73" t="str">
        <f>IF(Rules!$C$22="","",Rules!$G$22)</f>
        <v>Yes</v>
      </c>
      <c r="G21" s="144">
        <v>22</v>
      </c>
      <c r="H21" s="145" t="str">
        <f>IF(Rules!$C$22="","",TRIM(IF(COUNTIFS(Rules_Key,Rules!$C$22,Rules_Dir,Rules!$E$22)&gt;1,"Duplicate keyword+direction. ","")&amp;IF(LEN(Rules!$C$22)&lt;5,"Keyword under 5 characters - matches too much. ","")&amp;IF(AND(Rules!$D$22&lt;&gt;"",COUNTIF(Cat_Name,Rules!$D$22)=0),"Category is not on the Categories sheet - rows will fall to Review Required. ","")&amp;IF(Rules!$F$22="Broad","Broad scope - deliberately forces Review Required. ","")&amp;IF(Rules!$G$22&lt;&gt;"Yes","Rule is switched OFF. ","")&amp;IF(AND(Rules!$C$22&lt;&gt;"",Rules!$D$22=""),"Keyword with no category. ","")))</f>
        <v/>
      </c>
    </row>
    <row r="22" spans="2:8" x14ac:dyDescent="0.25">
      <c r="B22" s="75">
        <f>IF(Rules!$C$23="","",Rules!$B$23)</f>
        <v>200</v>
      </c>
      <c r="C22" s="146" t="str">
        <f>IF(Rules!$C$23="","",Rules!$C$23)</f>
        <v>DELTA DENTAL</v>
      </c>
      <c r="D22" s="146" t="str">
        <f>IF(Rules!$C$23="","",Rules!$D$23)</f>
        <v>Employee Benefits &amp; Health Insurance</v>
      </c>
      <c r="E22" s="75" t="str">
        <f>IF(Rules!$C$23="","",Rules!$E$23)</f>
        <v>Out</v>
      </c>
      <c r="F22" s="75" t="str">
        <f>IF(Rules!$C$23="","",Rules!$G$23)</f>
        <v>Yes</v>
      </c>
      <c r="G22" s="147">
        <v>23</v>
      </c>
      <c r="H22" s="148" t="str">
        <f>IF(Rules!$C$23="","",TRIM(IF(COUNTIFS(Rules_Key,Rules!$C$23,Rules_Dir,Rules!$E$23)&gt;1,"Duplicate keyword+direction. ","")&amp;IF(LEN(Rules!$C$23)&lt;5,"Keyword under 5 characters - matches too much. ","")&amp;IF(AND(Rules!$D$23&lt;&gt;"",COUNTIF(Cat_Name,Rules!$D$23)=0),"Category is not on the Categories sheet - rows will fall to Review Required. ","")&amp;IF(Rules!$F$23="Broad","Broad scope - deliberately forces Review Required. ","")&amp;IF(Rules!$G$23&lt;&gt;"Yes","Rule is switched OFF. ","")&amp;IF(AND(Rules!$C$23&lt;&gt;"",Rules!$D$23=""),"Keyword with no category. ","")))</f>
        <v/>
      </c>
    </row>
    <row r="23" spans="2:8" x14ac:dyDescent="0.25">
      <c r="B23" s="73">
        <f>IF(Rules!$C$24="","",Rules!$B$24)</f>
        <v>200</v>
      </c>
      <c r="C23" s="143" t="str">
        <f>IF(Rules!$C$24="","",Rules!$C$24)</f>
        <v>METLIFE</v>
      </c>
      <c r="D23" s="143" t="str">
        <f>IF(Rules!$C$24="","",Rules!$D$24)</f>
        <v>Employee Benefits &amp; Health Insurance</v>
      </c>
      <c r="E23" s="73" t="str">
        <f>IF(Rules!$C$24="","",Rules!$E$24)</f>
        <v>Out</v>
      </c>
      <c r="F23" s="73" t="str">
        <f>IF(Rules!$C$24="","",Rules!$G$24)</f>
        <v>Yes</v>
      </c>
      <c r="G23" s="144">
        <v>24</v>
      </c>
      <c r="H23" s="145" t="str">
        <f>IF(Rules!$C$24="","",TRIM(IF(COUNTIFS(Rules_Key,Rules!$C$24,Rules_Dir,Rules!$E$24)&gt;1,"Duplicate keyword+direction. ","")&amp;IF(LEN(Rules!$C$24)&lt;5,"Keyword under 5 characters - matches too much. ","")&amp;IF(AND(Rules!$D$24&lt;&gt;"",COUNTIF(Cat_Name,Rules!$D$24)=0),"Category is not on the Categories sheet - rows will fall to Review Required. ","")&amp;IF(Rules!$F$24="Broad","Broad scope - deliberately forces Review Required. ","")&amp;IF(Rules!$G$24&lt;&gt;"Yes","Rule is switched OFF. ","")&amp;IF(AND(Rules!$C$24&lt;&gt;"",Rules!$D$24=""),"Keyword with no category. ","")))</f>
        <v/>
      </c>
    </row>
    <row r="24" spans="2:8" x14ac:dyDescent="0.25">
      <c r="B24" s="75">
        <f>IF(Rules!$C$25="","",Rules!$B$25)</f>
        <v>200</v>
      </c>
      <c r="C24" s="146" t="str">
        <f>IF(Rules!$C$25="","",Rules!$C$25)</f>
        <v>GUARDIAN</v>
      </c>
      <c r="D24" s="146" t="str">
        <f>IF(Rules!$C$25="","",Rules!$D$25)</f>
        <v>Employee Benefits &amp; Health Insurance</v>
      </c>
      <c r="E24" s="75" t="str">
        <f>IF(Rules!$C$25="","",Rules!$E$25)</f>
        <v>Out</v>
      </c>
      <c r="F24" s="75" t="str">
        <f>IF(Rules!$C$25="","",Rules!$G$25)</f>
        <v>Yes</v>
      </c>
      <c r="G24" s="147">
        <v>25</v>
      </c>
      <c r="H24" s="148" t="str">
        <f>IF(Rules!$C$25="","",TRIM(IF(COUNTIFS(Rules_Key,Rules!$C$25,Rules_Dir,Rules!$E$25)&gt;1,"Duplicate keyword+direction. ","")&amp;IF(LEN(Rules!$C$25)&lt;5,"Keyword under 5 characters - matches too much. ","")&amp;IF(AND(Rules!$D$25&lt;&gt;"",COUNTIF(Cat_Name,Rules!$D$25)=0),"Category is not on the Categories sheet - rows will fall to Review Required. ","")&amp;IF(Rules!$F$25="Broad","Broad scope - deliberately forces Review Required. ","")&amp;IF(Rules!$G$25&lt;&gt;"Yes","Rule is switched OFF. ","")&amp;IF(AND(Rules!$C$25&lt;&gt;"",Rules!$D$25=""),"Keyword with no category. ","")))</f>
        <v/>
      </c>
    </row>
    <row r="25" spans="2:8" x14ac:dyDescent="0.25">
      <c r="B25" s="73">
        <f>IF(Rules!$C$26="","",Rules!$B$26)</f>
        <v>200</v>
      </c>
      <c r="C25" s="143" t="str">
        <f>IF(Rules!$C$26="","",Rules!$C$26)</f>
        <v>ZELIS</v>
      </c>
      <c r="D25" s="143" t="str">
        <f>IF(Rules!$C$26="","",Rules!$D$26)</f>
        <v>Patient Fees - Insurance Reimbursement</v>
      </c>
      <c r="E25" s="73" t="str">
        <f>IF(Rules!$C$26="","",Rules!$E$26)</f>
        <v>In</v>
      </c>
      <c r="F25" s="73" t="str">
        <f>IF(Rules!$C$26="","",Rules!$G$26)</f>
        <v>Yes</v>
      </c>
      <c r="G25" s="144">
        <v>26</v>
      </c>
      <c r="H25" s="145" t="str">
        <f>IF(Rules!$C$26="","",TRIM(IF(COUNTIFS(Rules_Key,Rules!$C$26,Rules_Dir,Rules!$E$26)&gt;1,"Duplicate keyword+direction. ","")&amp;IF(LEN(Rules!$C$26)&lt;5,"Keyword under 5 characters - matches too much. ","")&amp;IF(AND(Rules!$D$26&lt;&gt;"",COUNTIF(Cat_Name,Rules!$D$26)=0),"Category is not on the Categories sheet - rows will fall to Review Required. ","")&amp;IF(Rules!$F$26="Broad","Broad scope - deliberately forces Review Required. ","")&amp;IF(Rules!$G$26&lt;&gt;"Yes","Rule is switched OFF. ","")&amp;IF(AND(Rules!$C$26&lt;&gt;"",Rules!$D$26=""),"Keyword with no category. ","")))</f>
        <v/>
      </c>
    </row>
    <row r="26" spans="2:8" x14ac:dyDescent="0.25">
      <c r="B26" s="75">
        <f>IF(Rules!$C$27="","",Rules!$B$27)</f>
        <v>200</v>
      </c>
      <c r="C26" s="146" t="str">
        <f>IF(Rules!$C$27="","",Rules!$C$27)</f>
        <v>ECHO HEALTH</v>
      </c>
      <c r="D26" s="146" t="str">
        <f>IF(Rules!$C$27="","",Rules!$D$27)</f>
        <v>Patient Fees - Insurance Reimbursement</v>
      </c>
      <c r="E26" s="75" t="str">
        <f>IF(Rules!$C$27="","",Rules!$E$27)</f>
        <v>In</v>
      </c>
      <c r="F26" s="75" t="str">
        <f>IF(Rules!$C$27="","",Rules!$G$27)</f>
        <v>Yes</v>
      </c>
      <c r="G26" s="147">
        <v>27</v>
      </c>
      <c r="H26" s="148" t="str">
        <f>IF(Rules!$C$27="","",TRIM(IF(COUNTIFS(Rules_Key,Rules!$C$27,Rules_Dir,Rules!$E$27)&gt;1,"Duplicate keyword+direction. ","")&amp;IF(LEN(Rules!$C$27)&lt;5,"Keyword under 5 characters - matches too much. ","")&amp;IF(AND(Rules!$D$27&lt;&gt;"",COUNTIF(Cat_Name,Rules!$D$27)=0),"Category is not on the Categories sheet - rows will fall to Review Required. ","")&amp;IF(Rules!$F$27="Broad","Broad scope - deliberately forces Review Required. ","")&amp;IF(Rules!$G$27&lt;&gt;"Yes","Rule is switched OFF. ","")&amp;IF(AND(Rules!$C$27&lt;&gt;"",Rules!$D$27=""),"Keyword with no category. ","")))</f>
        <v/>
      </c>
    </row>
    <row r="27" spans="2:8" x14ac:dyDescent="0.25">
      <c r="B27" s="73">
        <f>IF(Rules!$C$28="","",Rules!$B$28)</f>
        <v>200</v>
      </c>
      <c r="C27" s="143" t="str">
        <f>IF(Rules!$C$28="","",Rules!$C$28)</f>
        <v>MEDICARE</v>
      </c>
      <c r="D27" s="143" t="str">
        <f>IF(Rules!$C$28="","",Rules!$D$28)</f>
        <v>Medicare / Medicaid Reimbursement</v>
      </c>
      <c r="E27" s="73" t="str">
        <f>IF(Rules!$C$28="","",Rules!$E$28)</f>
        <v>In</v>
      </c>
      <c r="F27" s="73" t="str">
        <f>IF(Rules!$C$28="","",Rules!$G$28)</f>
        <v>Yes</v>
      </c>
      <c r="G27" s="144">
        <v>28</v>
      </c>
      <c r="H27" s="145" t="str">
        <f>IF(Rules!$C$28="","",TRIM(IF(COUNTIFS(Rules_Key,Rules!$C$28,Rules_Dir,Rules!$E$28)&gt;1,"Duplicate keyword+direction. ","")&amp;IF(LEN(Rules!$C$28)&lt;5,"Keyword under 5 characters - matches too much. ","")&amp;IF(AND(Rules!$D$28&lt;&gt;"",COUNTIF(Cat_Name,Rules!$D$28)=0),"Category is not on the Categories sheet - rows will fall to Review Required. ","")&amp;IF(Rules!$F$28="Broad","Broad scope - deliberately forces Review Required. ","")&amp;IF(Rules!$G$28&lt;&gt;"Yes","Rule is switched OFF. ","")&amp;IF(AND(Rules!$C$28&lt;&gt;"",Rules!$D$28=""),"Keyword with no category. ","")))</f>
        <v/>
      </c>
    </row>
    <row r="28" spans="2:8" x14ac:dyDescent="0.25">
      <c r="B28" s="75">
        <f>IF(Rules!$C$29="","",Rules!$B$29)</f>
        <v>200</v>
      </c>
      <c r="C28" s="146" t="str">
        <f>IF(Rules!$C$29="","",Rules!$C$29)</f>
        <v>NOVITAS</v>
      </c>
      <c r="D28" s="146" t="str">
        <f>IF(Rules!$C$29="","",Rules!$D$29)</f>
        <v>Medicare / Medicaid Reimbursement</v>
      </c>
      <c r="E28" s="75" t="str">
        <f>IF(Rules!$C$29="","",Rules!$E$29)</f>
        <v>In</v>
      </c>
      <c r="F28" s="75" t="str">
        <f>IF(Rules!$C$29="","",Rules!$G$29)</f>
        <v>Yes</v>
      </c>
      <c r="G28" s="147">
        <v>29</v>
      </c>
      <c r="H28" s="148" t="str">
        <f>IF(Rules!$C$29="","",TRIM(IF(COUNTIFS(Rules_Key,Rules!$C$29,Rules_Dir,Rules!$E$29)&gt;1,"Duplicate keyword+direction. ","")&amp;IF(LEN(Rules!$C$29)&lt;5,"Keyword under 5 characters - matches too much. ","")&amp;IF(AND(Rules!$D$29&lt;&gt;"",COUNTIF(Cat_Name,Rules!$D$29)=0),"Category is not on the Categories sheet - rows will fall to Review Required. ","")&amp;IF(Rules!$F$29="Broad","Broad scope - deliberately forces Review Required. ","")&amp;IF(Rules!$G$29&lt;&gt;"Yes","Rule is switched OFF. ","")&amp;IF(AND(Rules!$C$29&lt;&gt;"",Rules!$D$29=""),"Keyword with no category. ","")))</f>
        <v/>
      </c>
    </row>
    <row r="29" spans="2:8" x14ac:dyDescent="0.25">
      <c r="B29" s="73">
        <f>IF(Rules!$C$30="","",Rules!$B$30)</f>
        <v>200</v>
      </c>
      <c r="C29" s="143" t="str">
        <f>IF(Rules!$C$30="","",Rules!$C$30)</f>
        <v>MEDICAID</v>
      </c>
      <c r="D29" s="143" t="str">
        <f>IF(Rules!$C$30="","",Rules!$D$30)</f>
        <v>Medicare / Medicaid Reimbursement</v>
      </c>
      <c r="E29" s="73" t="str">
        <f>IF(Rules!$C$30="","",Rules!$E$30)</f>
        <v>In</v>
      </c>
      <c r="F29" s="73" t="str">
        <f>IF(Rules!$C$30="","",Rules!$G$30)</f>
        <v>Yes</v>
      </c>
      <c r="G29" s="144">
        <v>30</v>
      </c>
      <c r="H29" s="145" t="str">
        <f>IF(Rules!$C$30="","",TRIM(IF(COUNTIFS(Rules_Key,Rules!$C$30,Rules_Dir,Rules!$E$30)&gt;1,"Duplicate keyword+direction. ","")&amp;IF(LEN(Rules!$C$30)&lt;5,"Keyword under 5 characters - matches too much. ","")&amp;IF(AND(Rules!$D$30&lt;&gt;"",COUNTIF(Cat_Name,Rules!$D$30)=0),"Category is not on the Categories sheet - rows will fall to Review Required. ","")&amp;IF(Rules!$F$30="Broad","Broad scope - deliberately forces Review Required. ","")&amp;IF(Rules!$G$30&lt;&gt;"Yes","Rule is switched OFF. ","")&amp;IF(AND(Rules!$C$30&lt;&gt;"",Rules!$D$30=""),"Keyword with no category. ","")))</f>
        <v/>
      </c>
    </row>
    <row r="30" spans="2:8" x14ac:dyDescent="0.25">
      <c r="B30" s="75">
        <f>IF(Rules!$C$31="","",Rules!$B$31)</f>
        <v>200</v>
      </c>
      <c r="C30" s="146" t="str">
        <f>IF(Rules!$C$31="","",Rules!$C$31)</f>
        <v>TMHP</v>
      </c>
      <c r="D30" s="146" t="str">
        <f>IF(Rules!$C$31="","",Rules!$D$31)</f>
        <v>Medicare / Medicaid Reimbursement</v>
      </c>
      <c r="E30" s="75" t="str">
        <f>IF(Rules!$C$31="","",Rules!$E$31)</f>
        <v>In</v>
      </c>
      <c r="F30" s="75" t="str">
        <f>IF(Rules!$C$31="","",Rules!$G$31)</f>
        <v>Yes</v>
      </c>
      <c r="G30" s="147">
        <v>31</v>
      </c>
      <c r="H30" s="148" t="str">
        <f>IF(Rules!$C$31="","",TRIM(IF(COUNTIFS(Rules_Key,Rules!$C$31,Rules_Dir,Rules!$E$31)&gt;1,"Duplicate keyword+direction. ","")&amp;IF(LEN(Rules!$C$31)&lt;5,"Keyword under 5 characters - matches too much. ","")&amp;IF(AND(Rules!$D$31&lt;&gt;"",COUNTIF(Cat_Name,Rules!$D$31)=0),"Category is not on the Categories sheet - rows will fall to Review Required. ","")&amp;IF(Rules!$F$31="Broad","Broad scope - deliberately forces Review Required. ","")&amp;IF(Rules!$G$31&lt;&gt;"Yes","Rule is switched OFF. ","")&amp;IF(AND(Rules!$C$31&lt;&gt;"",Rules!$D$31=""),"Keyword with no category. ","")))</f>
        <v>Keyword under 5 characters - matches too much.</v>
      </c>
    </row>
    <row r="31" spans="2:8" x14ac:dyDescent="0.25">
      <c r="B31" s="73">
        <f>IF(Rules!$C$32="","",Rules!$B$32)</f>
        <v>200</v>
      </c>
      <c r="C31" s="143" t="str">
        <f>IF(Rules!$C$32="","",Rules!$C$32)</f>
        <v>BLUE CROSS</v>
      </c>
      <c r="D31" s="143" t="str">
        <f>IF(Rules!$C$32="","",Rules!$D$32)</f>
        <v>Employee Benefits &amp; Health Insurance</v>
      </c>
      <c r="E31" s="73" t="str">
        <f>IF(Rules!$C$32="","",Rules!$E$32)</f>
        <v>Out</v>
      </c>
      <c r="F31" s="73" t="str">
        <f>IF(Rules!$C$32="","",Rules!$G$32)</f>
        <v>Yes</v>
      </c>
      <c r="G31" s="144">
        <v>32</v>
      </c>
      <c r="H31" s="145" t="str">
        <f>IF(Rules!$C$32="","",TRIM(IF(COUNTIFS(Rules_Key,Rules!$C$32,Rules_Dir,Rules!$E$32)&gt;1,"Duplicate keyword+direction. ","")&amp;IF(LEN(Rules!$C$32)&lt;5,"Keyword under 5 characters - matches too much. ","")&amp;IF(AND(Rules!$D$32&lt;&gt;"",COUNTIF(Cat_Name,Rules!$D$32)=0),"Category is not on the Categories sheet - rows will fall to Review Required. ","")&amp;IF(Rules!$F$32="Broad","Broad scope - deliberately forces Review Required. ","")&amp;IF(Rules!$G$32&lt;&gt;"Yes","Rule is switched OFF. ","")&amp;IF(AND(Rules!$C$32&lt;&gt;"",Rules!$D$32=""),"Keyword with no category. ","")))</f>
        <v/>
      </c>
    </row>
    <row r="32" spans="2:8" x14ac:dyDescent="0.25">
      <c r="B32" s="75">
        <f>IF(Rules!$C$33="","",Rules!$B$33)</f>
        <v>200</v>
      </c>
      <c r="C32" s="146" t="str">
        <f>IF(Rules!$C$33="","",Rules!$C$33)</f>
        <v>BCBS</v>
      </c>
      <c r="D32" s="146" t="str">
        <f>IF(Rules!$C$33="","",Rules!$D$33)</f>
        <v>Employee Benefits &amp; Health Insurance</v>
      </c>
      <c r="E32" s="75" t="str">
        <f>IF(Rules!$C$33="","",Rules!$E$33)</f>
        <v>Out</v>
      </c>
      <c r="F32" s="75" t="str">
        <f>IF(Rules!$C$33="","",Rules!$G$33)</f>
        <v>Yes</v>
      </c>
      <c r="G32" s="147">
        <v>33</v>
      </c>
      <c r="H32" s="148" t="str">
        <f>IF(Rules!$C$33="","",TRIM(IF(COUNTIFS(Rules_Key,Rules!$C$33,Rules_Dir,Rules!$E$33)&gt;1,"Duplicate keyword+direction. ","")&amp;IF(LEN(Rules!$C$33)&lt;5,"Keyword under 5 characters - matches too much. ","")&amp;IF(AND(Rules!$D$33&lt;&gt;"",COUNTIF(Cat_Name,Rules!$D$33)=0),"Category is not on the Categories sheet - rows will fall to Review Required. ","")&amp;IF(Rules!$F$33="Broad","Broad scope - deliberately forces Review Required. ","")&amp;IF(Rules!$G$33&lt;&gt;"Yes","Rule is switched OFF. ","")&amp;IF(AND(Rules!$C$33&lt;&gt;"",Rules!$D$33=""),"Keyword with no category. ","")))</f>
        <v>Keyword under 5 characters - matches too much.</v>
      </c>
    </row>
    <row r="33" spans="2:8" x14ac:dyDescent="0.25">
      <c r="B33" s="73">
        <f>IF(Rules!$C$34="","",Rules!$B$34)</f>
        <v>200</v>
      </c>
      <c r="C33" s="143" t="str">
        <f>IF(Rules!$C$34="","",Rules!$C$34)</f>
        <v>AETNA</v>
      </c>
      <c r="D33" s="143" t="str">
        <f>IF(Rules!$C$34="","",Rules!$D$34)</f>
        <v>Employee Benefits &amp; Health Insurance</v>
      </c>
      <c r="E33" s="73" t="str">
        <f>IF(Rules!$C$34="","",Rules!$E$34)</f>
        <v>Out</v>
      </c>
      <c r="F33" s="73" t="str">
        <f>IF(Rules!$C$34="","",Rules!$G$34)</f>
        <v>Yes</v>
      </c>
      <c r="G33" s="144">
        <v>34</v>
      </c>
      <c r="H33" s="145" t="str">
        <f>IF(Rules!$C$34="","",TRIM(IF(COUNTIFS(Rules_Key,Rules!$C$34,Rules_Dir,Rules!$E$34)&gt;1,"Duplicate keyword+direction. ","")&amp;IF(LEN(Rules!$C$34)&lt;5,"Keyword under 5 characters - matches too much. ","")&amp;IF(AND(Rules!$D$34&lt;&gt;"",COUNTIF(Cat_Name,Rules!$D$34)=0),"Category is not on the Categories sheet - rows will fall to Review Required. ","")&amp;IF(Rules!$F$34="Broad","Broad scope - deliberately forces Review Required. ","")&amp;IF(Rules!$G$34&lt;&gt;"Yes","Rule is switched OFF. ","")&amp;IF(AND(Rules!$C$34&lt;&gt;"",Rules!$D$34=""),"Keyword with no category. ","")))</f>
        <v/>
      </c>
    </row>
    <row r="34" spans="2:8" x14ac:dyDescent="0.25">
      <c r="B34" s="75">
        <f>IF(Rules!$C$35="","",Rules!$B$35)</f>
        <v>200</v>
      </c>
      <c r="C34" s="146" t="str">
        <f>IF(Rules!$C$35="","",Rules!$C$35)</f>
        <v>CIGNA</v>
      </c>
      <c r="D34" s="146" t="str">
        <f>IF(Rules!$C$35="","",Rules!$D$35)</f>
        <v>Employee Benefits &amp; Health Insurance</v>
      </c>
      <c r="E34" s="75" t="str">
        <f>IF(Rules!$C$35="","",Rules!$E$35)</f>
        <v>Out</v>
      </c>
      <c r="F34" s="75" t="str">
        <f>IF(Rules!$C$35="","",Rules!$G$35)</f>
        <v>Yes</v>
      </c>
      <c r="G34" s="147">
        <v>35</v>
      </c>
      <c r="H34" s="148" t="str">
        <f>IF(Rules!$C$35="","",TRIM(IF(COUNTIFS(Rules_Key,Rules!$C$35,Rules_Dir,Rules!$E$35)&gt;1,"Duplicate keyword+direction. ","")&amp;IF(LEN(Rules!$C$35)&lt;5,"Keyword under 5 characters - matches too much. ","")&amp;IF(AND(Rules!$D$35&lt;&gt;"",COUNTIF(Cat_Name,Rules!$D$35)=0),"Category is not on the Categories sheet - rows will fall to Review Required. ","")&amp;IF(Rules!$F$35="Broad","Broad scope - deliberately forces Review Required. ","")&amp;IF(Rules!$G$35&lt;&gt;"Yes","Rule is switched OFF. ","")&amp;IF(AND(Rules!$C$35&lt;&gt;"",Rules!$D$35=""),"Keyword with no category. ","")))</f>
        <v/>
      </c>
    </row>
    <row r="35" spans="2:8" x14ac:dyDescent="0.25">
      <c r="B35" s="73">
        <f>IF(Rules!$C$36="","",Rules!$B$36)</f>
        <v>200</v>
      </c>
      <c r="C35" s="143" t="str">
        <f>IF(Rules!$C$36="","",Rules!$C$36)</f>
        <v>HUMANA</v>
      </c>
      <c r="D35" s="143" t="str">
        <f>IF(Rules!$C$36="","",Rules!$D$36)</f>
        <v>Employee Benefits &amp; Health Insurance</v>
      </c>
      <c r="E35" s="73" t="str">
        <f>IF(Rules!$C$36="","",Rules!$E$36)</f>
        <v>Out</v>
      </c>
      <c r="F35" s="73" t="str">
        <f>IF(Rules!$C$36="","",Rules!$G$36)</f>
        <v>Yes</v>
      </c>
      <c r="G35" s="144">
        <v>36</v>
      </c>
      <c r="H35" s="145" t="str">
        <f>IF(Rules!$C$36="","",TRIM(IF(COUNTIFS(Rules_Key,Rules!$C$36,Rules_Dir,Rules!$E$36)&gt;1,"Duplicate keyword+direction. ","")&amp;IF(LEN(Rules!$C$36)&lt;5,"Keyword under 5 characters - matches too much. ","")&amp;IF(AND(Rules!$D$36&lt;&gt;"",COUNTIF(Cat_Name,Rules!$D$36)=0),"Category is not on the Categories sheet - rows will fall to Review Required. ","")&amp;IF(Rules!$F$36="Broad","Broad scope - deliberately forces Review Required. ","")&amp;IF(Rules!$G$36&lt;&gt;"Yes","Rule is switched OFF. ","")&amp;IF(AND(Rules!$C$36&lt;&gt;"",Rules!$D$36=""),"Keyword with no category. ","")))</f>
        <v/>
      </c>
    </row>
    <row r="36" spans="2:8" x14ac:dyDescent="0.25">
      <c r="B36" s="75">
        <f>IF(Rules!$C$37="","",Rules!$B$37)</f>
        <v>200</v>
      </c>
      <c r="C36" s="146" t="str">
        <f>IF(Rules!$C$37="","",Rules!$C$37)</f>
        <v>SQUARE</v>
      </c>
      <c r="D36" s="146" t="str">
        <f>IF(Rules!$C$37="","",Rules!$D$37)</f>
        <v>Processor Settlement Deposit</v>
      </c>
      <c r="E36" s="75" t="str">
        <f>IF(Rules!$C$37="","",Rules!$E$37)</f>
        <v>In</v>
      </c>
      <c r="F36" s="75" t="str">
        <f>IF(Rules!$C$37="","",Rules!$G$37)</f>
        <v>Yes</v>
      </c>
      <c r="G36" s="147">
        <v>37</v>
      </c>
      <c r="H36" s="148" t="str">
        <f>IF(Rules!$C$37="","",TRIM(IF(COUNTIFS(Rules_Key,Rules!$C$37,Rules_Dir,Rules!$E$37)&gt;1,"Duplicate keyword+direction. ","")&amp;IF(LEN(Rules!$C$37)&lt;5,"Keyword under 5 characters - matches too much. ","")&amp;IF(AND(Rules!$D$37&lt;&gt;"",COUNTIF(Cat_Name,Rules!$D$37)=0),"Category is not on the Categories sheet - rows will fall to Review Required. ","")&amp;IF(Rules!$F$37="Broad","Broad scope - deliberately forces Review Required. ","")&amp;IF(Rules!$G$37&lt;&gt;"Yes","Rule is switched OFF. ","")&amp;IF(AND(Rules!$C$37&lt;&gt;"",Rules!$D$37=""),"Keyword with no category. ","")))</f>
        <v/>
      </c>
    </row>
    <row r="37" spans="2:8" x14ac:dyDescent="0.25">
      <c r="B37" s="73">
        <f>IF(Rules!$C$38="","",Rules!$B$38)</f>
        <v>200</v>
      </c>
      <c r="C37" s="143" t="str">
        <f>IF(Rules!$C$38="","",Rules!$C$38)</f>
        <v>STRIPE</v>
      </c>
      <c r="D37" s="143" t="str">
        <f>IF(Rules!$C$38="","",Rules!$D$38)</f>
        <v>Processor Settlement Deposit</v>
      </c>
      <c r="E37" s="73" t="str">
        <f>IF(Rules!$C$38="","",Rules!$E$38)</f>
        <v>In</v>
      </c>
      <c r="F37" s="73" t="str">
        <f>IF(Rules!$C$38="","",Rules!$G$38)</f>
        <v>Yes</v>
      </c>
      <c r="G37" s="144">
        <v>38</v>
      </c>
      <c r="H37" s="145" t="str">
        <f>IF(Rules!$C$38="","",TRIM(IF(COUNTIFS(Rules_Key,Rules!$C$38,Rules_Dir,Rules!$E$38)&gt;1,"Duplicate keyword+direction. ","")&amp;IF(LEN(Rules!$C$38)&lt;5,"Keyword under 5 characters - matches too much. ","")&amp;IF(AND(Rules!$D$38&lt;&gt;"",COUNTIF(Cat_Name,Rules!$D$38)=0),"Category is not on the Categories sheet - rows will fall to Review Required. ","")&amp;IF(Rules!$F$38="Broad","Broad scope - deliberately forces Review Required. ","")&amp;IF(Rules!$G$38&lt;&gt;"Yes","Rule is switched OFF. ","")&amp;IF(AND(Rules!$C$38&lt;&gt;"",Rules!$D$38=""),"Keyword with no category. ","")))</f>
        <v/>
      </c>
    </row>
    <row r="38" spans="2:8" x14ac:dyDescent="0.25">
      <c r="B38" s="75">
        <f>IF(Rules!$C$39="","",Rules!$B$39)</f>
        <v>200</v>
      </c>
      <c r="C38" s="146" t="str">
        <f>IF(Rules!$C$39="","",Rules!$C$39)</f>
        <v>CLOVER</v>
      </c>
      <c r="D38" s="146" t="str">
        <f>IF(Rules!$C$39="","",Rules!$D$39)</f>
        <v>Processor Settlement Deposit</v>
      </c>
      <c r="E38" s="75" t="str">
        <f>IF(Rules!$C$39="","",Rules!$E$39)</f>
        <v>In</v>
      </c>
      <c r="F38" s="75" t="str">
        <f>IF(Rules!$C$39="","",Rules!$G$39)</f>
        <v>Yes</v>
      </c>
      <c r="G38" s="147">
        <v>39</v>
      </c>
      <c r="H38" s="148" t="str">
        <f>IF(Rules!$C$39="","",TRIM(IF(COUNTIFS(Rules_Key,Rules!$C$39,Rules_Dir,Rules!$E$39)&gt;1,"Duplicate keyword+direction. ","")&amp;IF(LEN(Rules!$C$39)&lt;5,"Keyword under 5 characters - matches too much. ","")&amp;IF(AND(Rules!$D$39&lt;&gt;"",COUNTIF(Cat_Name,Rules!$D$39)=0),"Category is not on the Categories sheet - rows will fall to Review Required. ","")&amp;IF(Rules!$F$39="Broad","Broad scope - deliberately forces Review Required. ","")&amp;IF(Rules!$G$39&lt;&gt;"Yes","Rule is switched OFF. ","")&amp;IF(AND(Rules!$C$39&lt;&gt;"",Rules!$D$39=""),"Keyword with no category. ","")))</f>
        <v/>
      </c>
    </row>
    <row r="39" spans="2:8" x14ac:dyDescent="0.25">
      <c r="B39" s="73">
        <f>IF(Rules!$C$40="","",Rules!$B$40)</f>
        <v>200</v>
      </c>
      <c r="C39" s="143" t="str">
        <f>IF(Rules!$C$40="","",Rules!$C$40)</f>
        <v>ELAVON</v>
      </c>
      <c r="D39" s="143" t="str">
        <f>IF(Rules!$C$40="","",Rules!$D$40)</f>
        <v>Processor Settlement Deposit</v>
      </c>
      <c r="E39" s="73" t="str">
        <f>IF(Rules!$C$40="","",Rules!$E$40)</f>
        <v>In</v>
      </c>
      <c r="F39" s="73" t="str">
        <f>IF(Rules!$C$40="","",Rules!$G$40)</f>
        <v>Yes</v>
      </c>
      <c r="G39" s="144">
        <v>40</v>
      </c>
      <c r="H39" s="145" t="str">
        <f>IF(Rules!$C$40="","",TRIM(IF(COUNTIFS(Rules_Key,Rules!$C$40,Rules_Dir,Rules!$E$40)&gt;1,"Duplicate keyword+direction. ","")&amp;IF(LEN(Rules!$C$40)&lt;5,"Keyword under 5 characters - matches too much. ","")&amp;IF(AND(Rules!$D$40&lt;&gt;"",COUNTIF(Cat_Name,Rules!$D$40)=0),"Category is not on the Categories sheet - rows will fall to Review Required. ","")&amp;IF(Rules!$F$40="Broad","Broad scope - deliberately forces Review Required. ","")&amp;IF(Rules!$G$40&lt;&gt;"Yes","Rule is switched OFF. ","")&amp;IF(AND(Rules!$C$40&lt;&gt;"",Rules!$D$40=""),"Keyword with no category. ","")))</f>
        <v/>
      </c>
    </row>
    <row r="40" spans="2:8" x14ac:dyDescent="0.25">
      <c r="B40" s="75">
        <f>IF(Rules!$C$41="","",Rules!$B$41)</f>
        <v>200</v>
      </c>
      <c r="C40" s="146" t="str">
        <f>IF(Rules!$C$41="","",Rules!$C$41)</f>
        <v>MERCHANT DEP</v>
      </c>
      <c r="D40" s="146" t="str">
        <f>IF(Rules!$C$41="","",Rules!$D$41)</f>
        <v>Processor Settlement Deposit</v>
      </c>
      <c r="E40" s="75" t="str">
        <f>IF(Rules!$C$41="","",Rules!$E$41)</f>
        <v>In</v>
      </c>
      <c r="F40" s="75" t="str">
        <f>IF(Rules!$C$41="","",Rules!$G$41)</f>
        <v>Yes</v>
      </c>
      <c r="G40" s="147">
        <v>41</v>
      </c>
      <c r="H40" s="148" t="str">
        <f>IF(Rules!$C$41="","",TRIM(IF(COUNTIFS(Rules_Key,Rules!$C$41,Rules_Dir,Rules!$E$41)&gt;1,"Duplicate keyword+direction. ","")&amp;IF(LEN(Rules!$C$41)&lt;5,"Keyword under 5 characters - matches too much. ","")&amp;IF(AND(Rules!$D$41&lt;&gt;"",COUNTIF(Cat_Name,Rules!$D$41)=0),"Category is not on the Categories sheet - rows will fall to Review Required. ","")&amp;IF(Rules!$F$41="Broad","Broad scope - deliberately forces Review Required. ","")&amp;IF(Rules!$G$41&lt;&gt;"Yes","Rule is switched OFF. ","")&amp;IF(AND(Rules!$C$41&lt;&gt;"",Rules!$D$41=""),"Keyword with no category. ","")))</f>
        <v/>
      </c>
    </row>
    <row r="41" spans="2:8" x14ac:dyDescent="0.25">
      <c r="B41" s="73">
        <f>IF(Rules!$C$42="","",Rules!$B$42)</f>
        <v>200</v>
      </c>
      <c r="C41" s="143" t="str">
        <f>IF(Rules!$C$42="","",Rules!$C$42)</f>
        <v>SQUARE</v>
      </c>
      <c r="D41" s="143" t="str">
        <f>IF(Rules!$C$42="","",Rules!$D$42)</f>
        <v>Merchant Processing Fees</v>
      </c>
      <c r="E41" s="73" t="str">
        <f>IF(Rules!$C$42="","",Rules!$E$42)</f>
        <v>Out</v>
      </c>
      <c r="F41" s="73" t="str">
        <f>IF(Rules!$C$42="","",Rules!$G$42)</f>
        <v>Yes</v>
      </c>
      <c r="G41" s="144">
        <v>42</v>
      </c>
      <c r="H41" s="145" t="str">
        <f>IF(Rules!$C$42="","",TRIM(IF(COUNTIFS(Rules_Key,Rules!$C$42,Rules_Dir,Rules!$E$42)&gt;1,"Duplicate keyword+direction. ","")&amp;IF(LEN(Rules!$C$42)&lt;5,"Keyword under 5 characters - matches too much. ","")&amp;IF(AND(Rules!$D$42&lt;&gt;"",COUNTIF(Cat_Name,Rules!$D$42)=0),"Category is not on the Categories sheet - rows will fall to Review Required. ","")&amp;IF(Rules!$F$42="Broad","Broad scope - deliberately forces Review Required. ","")&amp;IF(Rules!$G$42&lt;&gt;"Yes","Rule is switched OFF. ","")&amp;IF(AND(Rules!$C$42&lt;&gt;"",Rules!$D$42=""),"Keyword with no category. ","")))</f>
        <v/>
      </c>
    </row>
    <row r="42" spans="2:8" x14ac:dyDescent="0.25">
      <c r="B42" s="75">
        <f>IF(Rules!$C$43="","",Rules!$B$43)</f>
        <v>200</v>
      </c>
      <c r="C42" s="146" t="str">
        <f>IF(Rules!$C$43="","",Rules!$C$43)</f>
        <v>STRIPE</v>
      </c>
      <c r="D42" s="146" t="str">
        <f>IF(Rules!$C$43="","",Rules!$D$43)</f>
        <v>Merchant Processing Fees</v>
      </c>
      <c r="E42" s="75" t="str">
        <f>IF(Rules!$C$43="","",Rules!$E$43)</f>
        <v>Out</v>
      </c>
      <c r="F42" s="75" t="str">
        <f>IF(Rules!$C$43="","",Rules!$G$43)</f>
        <v>Yes</v>
      </c>
      <c r="G42" s="147">
        <v>43</v>
      </c>
      <c r="H42" s="148" t="str">
        <f>IF(Rules!$C$43="","",TRIM(IF(COUNTIFS(Rules_Key,Rules!$C$43,Rules_Dir,Rules!$E$43)&gt;1,"Duplicate keyword+direction. ","")&amp;IF(LEN(Rules!$C$43)&lt;5,"Keyword under 5 characters - matches too much. ","")&amp;IF(AND(Rules!$D$43&lt;&gt;"",COUNTIF(Cat_Name,Rules!$D$43)=0),"Category is not on the Categories sheet - rows will fall to Review Required. ","")&amp;IF(Rules!$F$43="Broad","Broad scope - deliberately forces Review Required. ","")&amp;IF(Rules!$G$43&lt;&gt;"Yes","Rule is switched OFF. ","")&amp;IF(AND(Rules!$C$43&lt;&gt;"",Rules!$D$43=""),"Keyword with no category. ","")))</f>
        <v/>
      </c>
    </row>
    <row r="43" spans="2:8" x14ac:dyDescent="0.25">
      <c r="B43" s="73">
        <f>IF(Rules!$C$44="","",Rules!$B$44)</f>
        <v>200</v>
      </c>
      <c r="C43" s="143" t="str">
        <f>IF(Rules!$C$44="","",Rules!$C$44)</f>
        <v>MERCHANT FEE</v>
      </c>
      <c r="D43" s="143" t="str">
        <f>IF(Rules!$C$44="","",Rules!$D$44)</f>
        <v>Merchant Processing Fees</v>
      </c>
      <c r="E43" s="73" t="str">
        <f>IF(Rules!$C$44="","",Rules!$E$44)</f>
        <v>Out</v>
      </c>
      <c r="F43" s="73" t="str">
        <f>IF(Rules!$C$44="","",Rules!$G$44)</f>
        <v>Yes</v>
      </c>
      <c r="G43" s="144">
        <v>44</v>
      </c>
      <c r="H43" s="145" t="str">
        <f>IF(Rules!$C$44="","",TRIM(IF(COUNTIFS(Rules_Key,Rules!$C$44,Rules_Dir,Rules!$E$44)&gt;1,"Duplicate keyword+direction. ","")&amp;IF(LEN(Rules!$C$44)&lt;5,"Keyword under 5 characters - matches too much. ","")&amp;IF(AND(Rules!$D$44&lt;&gt;"",COUNTIF(Cat_Name,Rules!$D$44)=0),"Category is not on the Categories sheet - rows will fall to Review Required. ","")&amp;IF(Rules!$F$44="Broad","Broad scope - deliberately forces Review Required. ","")&amp;IF(Rules!$G$44&lt;&gt;"Yes","Rule is switched OFF. ","")&amp;IF(AND(Rules!$C$44&lt;&gt;"",Rules!$D$44=""),"Keyword with no category. ","")))</f>
        <v/>
      </c>
    </row>
    <row r="44" spans="2:8" x14ac:dyDescent="0.25">
      <c r="B44" s="75">
        <f>IF(Rules!$C$45="","",Rules!$B$45)</f>
        <v>150</v>
      </c>
      <c r="C44" s="146" t="str">
        <f>IF(Rules!$C$45="","",Rules!$C$45)</f>
        <v>GUSTO PAYROLL</v>
      </c>
      <c r="D44" s="146" t="str">
        <f>IF(Rules!$C$45="","",Rules!$D$45)</f>
        <v>Payroll Cash Movement</v>
      </c>
      <c r="E44" s="75" t="str">
        <f>IF(Rules!$C$45="","",Rules!$E$45)</f>
        <v>Out</v>
      </c>
      <c r="F44" s="75" t="str">
        <f>IF(Rules!$C$45="","",Rules!$G$45)</f>
        <v>Yes</v>
      </c>
      <c r="G44" s="147">
        <v>45</v>
      </c>
      <c r="H44" s="148" t="str">
        <f>IF(Rules!$C$45="","",TRIM(IF(COUNTIFS(Rules_Key,Rules!$C$45,Rules_Dir,Rules!$E$45)&gt;1,"Duplicate keyword+direction. ","")&amp;IF(LEN(Rules!$C$45)&lt;5,"Keyword under 5 characters - matches too much. ","")&amp;IF(AND(Rules!$D$45&lt;&gt;"",COUNTIF(Cat_Name,Rules!$D$45)=0),"Category is not on the Categories sheet - rows will fall to Review Required. ","")&amp;IF(Rules!$F$45="Broad","Broad scope - deliberately forces Review Required. ","")&amp;IF(Rules!$G$45&lt;&gt;"Yes","Rule is switched OFF. ","")&amp;IF(AND(Rules!$C$45&lt;&gt;"",Rules!$D$45=""),"Keyword with no category. ","")))</f>
        <v/>
      </c>
    </row>
    <row r="45" spans="2:8" x14ac:dyDescent="0.25">
      <c r="B45" s="73">
        <f>IF(Rules!$C$46="","",Rules!$B$46)</f>
        <v>150</v>
      </c>
      <c r="C45" s="143" t="str">
        <f>IF(Rules!$C$46="","",Rules!$C$46)</f>
        <v>GUSTO NET PAY</v>
      </c>
      <c r="D45" s="143" t="str">
        <f>IF(Rules!$C$46="","",Rules!$D$46)</f>
        <v>Payroll Cash Movement</v>
      </c>
      <c r="E45" s="73" t="str">
        <f>IF(Rules!$C$46="","",Rules!$E$46)</f>
        <v>Out</v>
      </c>
      <c r="F45" s="73" t="str">
        <f>IF(Rules!$C$46="","",Rules!$G$46)</f>
        <v>Yes</v>
      </c>
      <c r="G45" s="144">
        <v>46</v>
      </c>
      <c r="H45" s="145" t="str">
        <f>IF(Rules!$C$46="","",TRIM(IF(COUNTIFS(Rules_Key,Rules!$C$46,Rules_Dir,Rules!$E$46)&gt;1,"Duplicate keyword+direction. ","")&amp;IF(LEN(Rules!$C$46)&lt;5,"Keyword under 5 characters - matches too much. ","")&amp;IF(AND(Rules!$D$46&lt;&gt;"",COUNTIF(Cat_Name,Rules!$D$46)=0),"Category is not on the Categories sheet - rows will fall to Review Required. ","")&amp;IF(Rules!$F$46="Broad","Broad scope - deliberately forces Review Required. ","")&amp;IF(Rules!$G$46&lt;&gt;"Yes","Rule is switched OFF. ","")&amp;IF(AND(Rules!$C$46&lt;&gt;"",Rules!$D$46=""),"Keyword with no category. ","")))</f>
        <v/>
      </c>
    </row>
    <row r="46" spans="2:8" x14ac:dyDescent="0.25">
      <c r="B46" s="75">
        <f>IF(Rules!$C$47="","",Rules!$B$47)</f>
        <v>150</v>
      </c>
      <c r="C46" s="146" t="str">
        <f>IF(Rules!$C$47="","",Rules!$C$47)</f>
        <v>GUSTO WAGE</v>
      </c>
      <c r="D46" s="146" t="str">
        <f>IF(Rules!$C$47="","",Rules!$D$47)</f>
        <v>Payroll Cash Movement</v>
      </c>
      <c r="E46" s="75" t="str">
        <f>IF(Rules!$C$47="","",Rules!$E$47)</f>
        <v>Out</v>
      </c>
      <c r="F46" s="75" t="str">
        <f>IF(Rules!$C$47="","",Rules!$G$47)</f>
        <v>Yes</v>
      </c>
      <c r="G46" s="147">
        <v>47</v>
      </c>
      <c r="H46" s="148" t="str">
        <f>IF(Rules!$C$47="","",TRIM(IF(COUNTIFS(Rules_Key,Rules!$C$47,Rules_Dir,Rules!$E$47)&gt;1,"Duplicate keyword+direction. ","")&amp;IF(LEN(Rules!$C$47)&lt;5,"Keyword under 5 characters - matches too much. ","")&amp;IF(AND(Rules!$D$47&lt;&gt;"",COUNTIF(Cat_Name,Rules!$D$47)=0),"Category is not on the Categories sheet - rows will fall to Review Required. ","")&amp;IF(Rules!$F$47="Broad","Broad scope - deliberately forces Review Required. ","")&amp;IF(Rules!$G$47&lt;&gt;"Yes","Rule is switched OFF. ","")&amp;IF(AND(Rules!$C$47&lt;&gt;"",Rules!$D$47=""),"Keyword with no category. ","")))</f>
        <v/>
      </c>
    </row>
    <row r="47" spans="2:8" x14ac:dyDescent="0.25">
      <c r="B47" s="73">
        <f>IF(Rules!$C$48="","",Rules!$B$48)</f>
        <v>150</v>
      </c>
      <c r="C47" s="143" t="str">
        <f>IF(Rules!$C$48="","",Rules!$C$48)</f>
        <v>GUSTO TAX</v>
      </c>
      <c r="D47" s="143" t="str">
        <f>IF(Rules!$C$48="","",Rules!$D$48)</f>
        <v>Employer Payroll Taxes</v>
      </c>
      <c r="E47" s="73" t="str">
        <f>IF(Rules!$C$48="","",Rules!$E$48)</f>
        <v>Out</v>
      </c>
      <c r="F47" s="73" t="str">
        <f>IF(Rules!$C$48="","",Rules!$G$48)</f>
        <v>Yes</v>
      </c>
      <c r="G47" s="144">
        <v>48</v>
      </c>
      <c r="H47" s="145" t="str">
        <f>IF(Rules!$C$48="","",TRIM(IF(COUNTIFS(Rules_Key,Rules!$C$48,Rules_Dir,Rules!$E$48)&gt;1,"Duplicate keyword+direction. ","")&amp;IF(LEN(Rules!$C$48)&lt;5,"Keyword under 5 characters - matches too much. ","")&amp;IF(AND(Rules!$D$48&lt;&gt;"",COUNTIF(Cat_Name,Rules!$D$48)=0),"Category is not on the Categories sheet - rows will fall to Review Required. ","")&amp;IF(Rules!$F$48="Broad","Broad scope - deliberately forces Review Required. ","")&amp;IF(Rules!$G$48&lt;&gt;"Yes","Rule is switched OFF. ","")&amp;IF(AND(Rules!$C$48&lt;&gt;"",Rules!$D$48=""),"Keyword with no category. ","")))</f>
        <v/>
      </c>
    </row>
    <row r="48" spans="2:8" x14ac:dyDescent="0.25">
      <c r="B48" s="75">
        <f>IF(Rules!$C$49="","",Rules!$B$49)</f>
        <v>150</v>
      </c>
      <c r="C48" s="146" t="str">
        <f>IF(Rules!$C$49="","",Rules!$C$49)</f>
        <v>GUSTO FEE</v>
      </c>
      <c r="D48" s="146" t="str">
        <f>IF(Rules!$C$49="","",Rules!$D$49)</f>
        <v>Payroll Service Fees</v>
      </c>
      <c r="E48" s="75" t="str">
        <f>IF(Rules!$C$49="","",Rules!$E$49)</f>
        <v>Out</v>
      </c>
      <c r="F48" s="75" t="str">
        <f>IF(Rules!$C$49="","",Rules!$G$49)</f>
        <v>Yes</v>
      </c>
      <c r="G48" s="147">
        <v>49</v>
      </c>
      <c r="H48" s="148" t="str">
        <f>IF(Rules!$C$49="","",TRIM(IF(COUNTIFS(Rules_Key,Rules!$C$49,Rules_Dir,Rules!$E$49)&gt;1,"Duplicate keyword+direction. ","")&amp;IF(LEN(Rules!$C$49)&lt;5,"Keyword under 5 characters - matches too much. ","")&amp;IF(AND(Rules!$D$49&lt;&gt;"",COUNTIF(Cat_Name,Rules!$D$49)=0),"Category is not on the Categories sheet - rows will fall to Review Required. ","")&amp;IF(Rules!$F$49="Broad","Broad scope - deliberately forces Review Required. ","")&amp;IF(Rules!$G$49&lt;&gt;"Yes","Rule is switched OFF. ","")&amp;IF(AND(Rules!$C$49&lt;&gt;"",Rules!$D$49=""),"Keyword with no category. ","")))</f>
        <v/>
      </c>
    </row>
    <row r="49" spans="2:8" x14ac:dyDescent="0.25">
      <c r="B49" s="73">
        <f>IF(Rules!$C$50="","",Rules!$B$50)</f>
        <v>150</v>
      </c>
      <c r="C49" s="143" t="str">
        <f>IF(Rules!$C$50="","",Rules!$C$50)</f>
        <v>GUSTO SERVICE FEE</v>
      </c>
      <c r="D49" s="143" t="str">
        <f>IF(Rules!$C$50="","",Rules!$D$50)</f>
        <v>Payroll Service Fees</v>
      </c>
      <c r="E49" s="73" t="str">
        <f>IF(Rules!$C$50="","",Rules!$E$50)</f>
        <v>Out</v>
      </c>
      <c r="F49" s="73" t="str">
        <f>IF(Rules!$C$50="","",Rules!$G$50)</f>
        <v>Yes</v>
      </c>
      <c r="G49" s="144">
        <v>50</v>
      </c>
      <c r="H49" s="145" t="str">
        <f>IF(Rules!$C$50="","",TRIM(IF(COUNTIFS(Rules_Key,Rules!$C$50,Rules_Dir,Rules!$E$50)&gt;1,"Duplicate keyword+direction. ","")&amp;IF(LEN(Rules!$C$50)&lt;5,"Keyword under 5 characters - matches too much. ","")&amp;IF(AND(Rules!$D$50&lt;&gt;"",COUNTIF(Cat_Name,Rules!$D$50)=0),"Category is not on the Categories sheet - rows will fall to Review Required. ","")&amp;IF(Rules!$F$50="Broad","Broad scope - deliberately forces Review Required. ","")&amp;IF(Rules!$G$50&lt;&gt;"Yes","Rule is switched OFF. ","")&amp;IF(AND(Rules!$C$50&lt;&gt;"",Rules!$D$50=""),"Keyword with no category. ","")))</f>
        <v/>
      </c>
    </row>
    <row r="50" spans="2:8" x14ac:dyDescent="0.25">
      <c r="B50" s="75">
        <f>IF(Rules!$C$51="","",Rules!$B$51)</f>
        <v>150</v>
      </c>
      <c r="C50" s="146" t="str">
        <f>IF(Rules!$C$51="","",Rules!$C$51)</f>
        <v>GUSTO BENEFIT</v>
      </c>
      <c r="D50" s="146" t="str">
        <f>IF(Rules!$C$51="","",Rules!$D$51)</f>
        <v>Payroll Cash Movement</v>
      </c>
      <c r="E50" s="75" t="str">
        <f>IF(Rules!$C$51="","",Rules!$E$51)</f>
        <v>Out</v>
      </c>
      <c r="F50" s="75" t="str">
        <f>IF(Rules!$C$51="","",Rules!$G$51)</f>
        <v>Yes</v>
      </c>
      <c r="G50" s="147">
        <v>51</v>
      </c>
      <c r="H50" s="148" t="str">
        <f>IF(Rules!$C$51="","",TRIM(IF(COUNTIFS(Rules_Key,Rules!$C$51,Rules_Dir,Rules!$E$51)&gt;1,"Duplicate keyword+direction. ","")&amp;IF(LEN(Rules!$C$51)&lt;5,"Keyword under 5 characters - matches too much. ","")&amp;IF(AND(Rules!$D$51&lt;&gt;"",COUNTIF(Cat_Name,Rules!$D$51)=0),"Category is not on the Categories sheet - rows will fall to Review Required. ","")&amp;IF(Rules!$F$51="Broad","Broad scope - deliberately forces Review Required. ","")&amp;IF(Rules!$G$51&lt;&gt;"Yes","Rule is switched OFF. ","")&amp;IF(AND(Rules!$C$51&lt;&gt;"",Rules!$D$51=""),"Keyword with no category. ","")))</f>
        <v/>
      </c>
    </row>
    <row r="51" spans="2:8" x14ac:dyDescent="0.25">
      <c r="B51" s="73">
        <f>IF(Rules!$C$52="","",Rules!$B$52)</f>
        <v>150</v>
      </c>
      <c r="C51" s="143" t="str">
        <f>IF(Rules!$C$52="","",Rules!$C$52)</f>
        <v>ADP PAYROLL</v>
      </c>
      <c r="D51" s="143" t="str">
        <f>IF(Rules!$C$52="","",Rules!$D$52)</f>
        <v>Payroll Cash Movement</v>
      </c>
      <c r="E51" s="73" t="str">
        <f>IF(Rules!$C$52="","",Rules!$E$52)</f>
        <v>Out</v>
      </c>
      <c r="F51" s="73" t="str">
        <f>IF(Rules!$C$52="","",Rules!$G$52)</f>
        <v>Yes</v>
      </c>
      <c r="G51" s="144">
        <v>52</v>
      </c>
      <c r="H51" s="145" t="str">
        <f>IF(Rules!$C$52="","",TRIM(IF(COUNTIFS(Rules_Key,Rules!$C$52,Rules_Dir,Rules!$E$52)&gt;1,"Duplicate keyword+direction. ","")&amp;IF(LEN(Rules!$C$52)&lt;5,"Keyword under 5 characters - matches too much. ","")&amp;IF(AND(Rules!$D$52&lt;&gt;"",COUNTIF(Cat_Name,Rules!$D$52)=0),"Category is not on the Categories sheet - rows will fall to Review Required. ","")&amp;IF(Rules!$F$52="Broad","Broad scope - deliberately forces Review Required. ","")&amp;IF(Rules!$G$52&lt;&gt;"Yes","Rule is switched OFF. ","")&amp;IF(AND(Rules!$C$52&lt;&gt;"",Rules!$D$52=""),"Keyword with no category. ","")))</f>
        <v/>
      </c>
    </row>
    <row r="52" spans="2:8" x14ac:dyDescent="0.25">
      <c r="B52" s="75">
        <f>IF(Rules!$C$53="","",Rules!$B$53)</f>
        <v>150</v>
      </c>
      <c r="C52" s="146" t="str">
        <f>IF(Rules!$C$53="","",Rules!$C$53)</f>
        <v>ADP NET PAY</v>
      </c>
      <c r="D52" s="146" t="str">
        <f>IF(Rules!$C$53="","",Rules!$D$53)</f>
        <v>Payroll Cash Movement</v>
      </c>
      <c r="E52" s="75" t="str">
        <f>IF(Rules!$C$53="","",Rules!$E$53)</f>
        <v>Out</v>
      </c>
      <c r="F52" s="75" t="str">
        <f>IF(Rules!$C$53="","",Rules!$G$53)</f>
        <v>Yes</v>
      </c>
      <c r="G52" s="147">
        <v>53</v>
      </c>
      <c r="H52" s="148" t="str">
        <f>IF(Rules!$C$53="","",TRIM(IF(COUNTIFS(Rules_Key,Rules!$C$53,Rules_Dir,Rules!$E$53)&gt;1,"Duplicate keyword+direction. ","")&amp;IF(LEN(Rules!$C$53)&lt;5,"Keyword under 5 characters - matches too much. ","")&amp;IF(AND(Rules!$D$53&lt;&gt;"",COUNTIF(Cat_Name,Rules!$D$53)=0),"Category is not on the Categories sheet - rows will fall to Review Required. ","")&amp;IF(Rules!$F$53="Broad","Broad scope - deliberately forces Review Required. ","")&amp;IF(Rules!$G$53&lt;&gt;"Yes","Rule is switched OFF. ","")&amp;IF(AND(Rules!$C$53&lt;&gt;"",Rules!$D$53=""),"Keyword with no category. ","")))</f>
        <v/>
      </c>
    </row>
    <row r="53" spans="2:8" x14ac:dyDescent="0.25">
      <c r="B53" s="73">
        <f>IF(Rules!$C$54="","",Rules!$B$54)</f>
        <v>150</v>
      </c>
      <c r="C53" s="143" t="str">
        <f>IF(Rules!$C$54="","",Rules!$C$54)</f>
        <v>ADP WAGE</v>
      </c>
      <c r="D53" s="143" t="str">
        <f>IF(Rules!$C$54="","",Rules!$D$54)</f>
        <v>Payroll Cash Movement</v>
      </c>
      <c r="E53" s="73" t="str">
        <f>IF(Rules!$C$54="","",Rules!$E$54)</f>
        <v>Out</v>
      </c>
      <c r="F53" s="73" t="str">
        <f>IF(Rules!$C$54="","",Rules!$G$54)</f>
        <v>Yes</v>
      </c>
      <c r="G53" s="144">
        <v>54</v>
      </c>
      <c r="H53" s="145" t="str">
        <f>IF(Rules!$C$54="","",TRIM(IF(COUNTIFS(Rules_Key,Rules!$C$54,Rules_Dir,Rules!$E$54)&gt;1,"Duplicate keyword+direction. ","")&amp;IF(LEN(Rules!$C$54)&lt;5,"Keyword under 5 characters - matches too much. ","")&amp;IF(AND(Rules!$D$54&lt;&gt;"",COUNTIF(Cat_Name,Rules!$D$54)=0),"Category is not on the Categories sheet - rows will fall to Review Required. ","")&amp;IF(Rules!$F$54="Broad","Broad scope - deliberately forces Review Required. ","")&amp;IF(Rules!$G$54&lt;&gt;"Yes","Rule is switched OFF. ","")&amp;IF(AND(Rules!$C$54&lt;&gt;"",Rules!$D$54=""),"Keyword with no category. ","")))</f>
        <v>Duplicate keyword+direction.</v>
      </c>
    </row>
    <row r="54" spans="2:8" x14ac:dyDescent="0.25">
      <c r="B54" s="75">
        <f>IF(Rules!$C$55="","",Rules!$B$55)</f>
        <v>150</v>
      </c>
      <c r="C54" s="146" t="str">
        <f>IF(Rules!$C$55="","",Rules!$C$55)</f>
        <v>ADP TAX</v>
      </c>
      <c r="D54" s="146" t="str">
        <f>IF(Rules!$C$55="","",Rules!$D$55)</f>
        <v>Employer Payroll Taxes</v>
      </c>
      <c r="E54" s="75" t="str">
        <f>IF(Rules!$C$55="","",Rules!$E$55)</f>
        <v>Out</v>
      </c>
      <c r="F54" s="75" t="str">
        <f>IF(Rules!$C$55="","",Rules!$G$55)</f>
        <v>Yes</v>
      </c>
      <c r="G54" s="147">
        <v>55</v>
      </c>
      <c r="H54" s="148" t="str">
        <f>IF(Rules!$C$55="","",TRIM(IF(COUNTIFS(Rules_Key,Rules!$C$55,Rules_Dir,Rules!$E$55)&gt;1,"Duplicate keyword+direction. ","")&amp;IF(LEN(Rules!$C$55)&lt;5,"Keyword under 5 characters - matches too much. ","")&amp;IF(AND(Rules!$D$55&lt;&gt;"",COUNTIF(Cat_Name,Rules!$D$55)=0),"Category is not on the Categories sheet - rows will fall to Review Required. ","")&amp;IF(Rules!$F$55="Broad","Broad scope - deliberately forces Review Required. ","")&amp;IF(Rules!$G$55&lt;&gt;"Yes","Rule is switched OFF. ","")&amp;IF(AND(Rules!$C$55&lt;&gt;"",Rules!$D$55=""),"Keyword with no category. ","")))</f>
        <v/>
      </c>
    </row>
    <row r="55" spans="2:8" x14ac:dyDescent="0.25">
      <c r="B55" s="73">
        <f>IF(Rules!$C$56="","",Rules!$B$56)</f>
        <v>150</v>
      </c>
      <c r="C55" s="143" t="str">
        <f>IF(Rules!$C$56="","",Rules!$C$56)</f>
        <v>ADP FEE</v>
      </c>
      <c r="D55" s="143" t="str">
        <f>IF(Rules!$C$56="","",Rules!$D$56)</f>
        <v>Payroll Service Fees</v>
      </c>
      <c r="E55" s="73" t="str">
        <f>IF(Rules!$C$56="","",Rules!$E$56)</f>
        <v>Out</v>
      </c>
      <c r="F55" s="73" t="str">
        <f>IF(Rules!$C$56="","",Rules!$G$56)</f>
        <v>Yes</v>
      </c>
      <c r="G55" s="144">
        <v>56</v>
      </c>
      <c r="H55" s="145" t="str">
        <f>IF(Rules!$C$56="","",TRIM(IF(COUNTIFS(Rules_Key,Rules!$C$56,Rules_Dir,Rules!$E$56)&gt;1,"Duplicate keyword+direction. ","")&amp;IF(LEN(Rules!$C$56)&lt;5,"Keyword under 5 characters - matches too much. ","")&amp;IF(AND(Rules!$D$56&lt;&gt;"",COUNTIF(Cat_Name,Rules!$D$56)=0),"Category is not on the Categories sheet - rows will fall to Review Required. ","")&amp;IF(Rules!$F$56="Broad","Broad scope - deliberately forces Review Required. ","")&amp;IF(Rules!$G$56&lt;&gt;"Yes","Rule is switched OFF. ","")&amp;IF(AND(Rules!$C$56&lt;&gt;"",Rules!$D$56=""),"Keyword with no category. ","")))</f>
        <v/>
      </c>
    </row>
    <row r="56" spans="2:8" x14ac:dyDescent="0.25">
      <c r="B56" s="75">
        <f>IF(Rules!$C$57="","",Rules!$B$57)</f>
        <v>150</v>
      </c>
      <c r="C56" s="146" t="str">
        <f>IF(Rules!$C$57="","",Rules!$C$57)</f>
        <v>ADP SERVICE FEE</v>
      </c>
      <c r="D56" s="146" t="str">
        <f>IF(Rules!$C$57="","",Rules!$D$57)</f>
        <v>Payroll Service Fees</v>
      </c>
      <c r="E56" s="75" t="str">
        <f>IF(Rules!$C$57="","",Rules!$E$57)</f>
        <v>Out</v>
      </c>
      <c r="F56" s="75" t="str">
        <f>IF(Rules!$C$57="","",Rules!$G$57)</f>
        <v>Yes</v>
      </c>
      <c r="G56" s="147">
        <v>57</v>
      </c>
      <c r="H56" s="148" t="str">
        <f>IF(Rules!$C$57="","",TRIM(IF(COUNTIFS(Rules_Key,Rules!$C$57,Rules_Dir,Rules!$E$57)&gt;1,"Duplicate keyword+direction. ","")&amp;IF(LEN(Rules!$C$57)&lt;5,"Keyword under 5 characters - matches too much. ","")&amp;IF(AND(Rules!$D$57&lt;&gt;"",COUNTIF(Cat_Name,Rules!$D$57)=0),"Category is not on the Categories sheet - rows will fall to Review Required. ","")&amp;IF(Rules!$F$57="Broad","Broad scope - deliberately forces Review Required. ","")&amp;IF(Rules!$G$57&lt;&gt;"Yes","Rule is switched OFF. ","")&amp;IF(AND(Rules!$C$57&lt;&gt;"",Rules!$D$57=""),"Keyword with no category. ","")))</f>
        <v/>
      </c>
    </row>
    <row r="57" spans="2:8" x14ac:dyDescent="0.25">
      <c r="B57" s="73">
        <f>IF(Rules!$C$58="","",Rules!$B$58)</f>
        <v>150</v>
      </c>
      <c r="C57" s="143" t="str">
        <f>IF(Rules!$C$58="","",Rules!$C$58)</f>
        <v>ADP BENEFIT</v>
      </c>
      <c r="D57" s="143" t="str">
        <f>IF(Rules!$C$58="","",Rules!$D$58)</f>
        <v>Payroll Cash Movement</v>
      </c>
      <c r="E57" s="73" t="str">
        <f>IF(Rules!$C$58="","",Rules!$E$58)</f>
        <v>Out</v>
      </c>
      <c r="F57" s="73" t="str">
        <f>IF(Rules!$C$58="","",Rules!$G$58)</f>
        <v>Yes</v>
      </c>
      <c r="G57" s="144">
        <v>58</v>
      </c>
      <c r="H57" s="145" t="str">
        <f>IF(Rules!$C$58="","",TRIM(IF(COUNTIFS(Rules_Key,Rules!$C$58,Rules_Dir,Rules!$E$58)&gt;1,"Duplicate keyword+direction. ","")&amp;IF(LEN(Rules!$C$58)&lt;5,"Keyword under 5 characters - matches too much. ","")&amp;IF(AND(Rules!$D$58&lt;&gt;"",COUNTIF(Cat_Name,Rules!$D$58)=0),"Category is not on the Categories sheet - rows will fall to Review Required. ","")&amp;IF(Rules!$F$58="Broad","Broad scope - deliberately forces Review Required. ","")&amp;IF(Rules!$G$58&lt;&gt;"Yes","Rule is switched OFF. ","")&amp;IF(AND(Rules!$C$58&lt;&gt;"",Rules!$D$58=""),"Keyword with no category. ","")))</f>
        <v/>
      </c>
    </row>
    <row r="58" spans="2:8" x14ac:dyDescent="0.25">
      <c r="B58" s="75">
        <f>IF(Rules!$C$59="","",Rules!$B$59)</f>
        <v>150</v>
      </c>
      <c r="C58" s="146" t="str">
        <f>IF(Rules!$C$59="","",Rules!$C$59)</f>
        <v>PAYCHEX PAYROLL</v>
      </c>
      <c r="D58" s="146" t="str">
        <f>IF(Rules!$C$59="","",Rules!$D$59)</f>
        <v>Payroll Cash Movement</v>
      </c>
      <c r="E58" s="75" t="str">
        <f>IF(Rules!$C$59="","",Rules!$E$59)</f>
        <v>Out</v>
      </c>
      <c r="F58" s="75" t="str">
        <f>IF(Rules!$C$59="","",Rules!$G$59)</f>
        <v>Yes</v>
      </c>
      <c r="G58" s="147">
        <v>59</v>
      </c>
      <c r="H58" s="148" t="str">
        <f>IF(Rules!$C$59="","",TRIM(IF(COUNTIFS(Rules_Key,Rules!$C$59,Rules_Dir,Rules!$E$59)&gt;1,"Duplicate keyword+direction. ","")&amp;IF(LEN(Rules!$C$59)&lt;5,"Keyword under 5 characters - matches too much. ","")&amp;IF(AND(Rules!$D$59&lt;&gt;"",COUNTIF(Cat_Name,Rules!$D$59)=0),"Category is not on the Categories sheet - rows will fall to Review Required. ","")&amp;IF(Rules!$F$59="Broad","Broad scope - deliberately forces Review Required. ","")&amp;IF(Rules!$G$59&lt;&gt;"Yes","Rule is switched OFF. ","")&amp;IF(AND(Rules!$C$59&lt;&gt;"",Rules!$D$59=""),"Keyword with no category. ","")))</f>
        <v/>
      </c>
    </row>
    <row r="59" spans="2:8" x14ac:dyDescent="0.25">
      <c r="B59" s="73">
        <f>IF(Rules!$C$60="","",Rules!$B$60)</f>
        <v>150</v>
      </c>
      <c r="C59" s="143" t="str">
        <f>IF(Rules!$C$60="","",Rules!$C$60)</f>
        <v>PAYCHEX NET PAY</v>
      </c>
      <c r="D59" s="143" t="str">
        <f>IF(Rules!$C$60="","",Rules!$D$60)</f>
        <v>Payroll Cash Movement</v>
      </c>
      <c r="E59" s="73" t="str">
        <f>IF(Rules!$C$60="","",Rules!$E$60)</f>
        <v>Out</v>
      </c>
      <c r="F59" s="73" t="str">
        <f>IF(Rules!$C$60="","",Rules!$G$60)</f>
        <v>Yes</v>
      </c>
      <c r="G59" s="144">
        <v>60</v>
      </c>
      <c r="H59" s="145" t="str">
        <f>IF(Rules!$C$60="","",TRIM(IF(COUNTIFS(Rules_Key,Rules!$C$60,Rules_Dir,Rules!$E$60)&gt;1,"Duplicate keyword+direction. ","")&amp;IF(LEN(Rules!$C$60)&lt;5,"Keyword under 5 characters - matches too much. ","")&amp;IF(AND(Rules!$D$60&lt;&gt;"",COUNTIF(Cat_Name,Rules!$D$60)=0),"Category is not on the Categories sheet - rows will fall to Review Required. ","")&amp;IF(Rules!$F$60="Broad","Broad scope - deliberately forces Review Required. ","")&amp;IF(Rules!$G$60&lt;&gt;"Yes","Rule is switched OFF. ","")&amp;IF(AND(Rules!$C$60&lt;&gt;"",Rules!$D$60=""),"Keyword with no category. ","")))</f>
        <v/>
      </c>
    </row>
    <row r="60" spans="2:8" x14ac:dyDescent="0.25">
      <c r="B60" s="75">
        <f>IF(Rules!$C$61="","",Rules!$B$61)</f>
        <v>150</v>
      </c>
      <c r="C60" s="146" t="str">
        <f>IF(Rules!$C$61="","",Rules!$C$61)</f>
        <v>PAYCHEX WAGE</v>
      </c>
      <c r="D60" s="146" t="str">
        <f>IF(Rules!$C$61="","",Rules!$D$61)</f>
        <v>Payroll Cash Movement</v>
      </c>
      <c r="E60" s="75" t="str">
        <f>IF(Rules!$C$61="","",Rules!$E$61)</f>
        <v>Out</v>
      </c>
      <c r="F60" s="75" t="str">
        <f>IF(Rules!$C$61="","",Rules!$G$61)</f>
        <v>Yes</v>
      </c>
      <c r="G60" s="147">
        <v>61</v>
      </c>
      <c r="H60" s="148" t="str">
        <f>IF(Rules!$C$61="","",TRIM(IF(COUNTIFS(Rules_Key,Rules!$C$61,Rules_Dir,Rules!$E$61)&gt;1,"Duplicate keyword+direction. ","")&amp;IF(LEN(Rules!$C$61)&lt;5,"Keyword under 5 characters - matches too much. ","")&amp;IF(AND(Rules!$D$61&lt;&gt;"",COUNTIF(Cat_Name,Rules!$D$61)=0),"Category is not on the Categories sheet - rows will fall to Review Required. ","")&amp;IF(Rules!$F$61="Broad","Broad scope - deliberately forces Review Required. ","")&amp;IF(Rules!$G$61&lt;&gt;"Yes","Rule is switched OFF. ","")&amp;IF(AND(Rules!$C$61&lt;&gt;"",Rules!$D$61=""),"Keyword with no category. ","")))</f>
        <v/>
      </c>
    </row>
    <row r="61" spans="2:8" x14ac:dyDescent="0.25">
      <c r="B61" s="73">
        <f>IF(Rules!$C$62="","",Rules!$B$62)</f>
        <v>150</v>
      </c>
      <c r="C61" s="143" t="str">
        <f>IF(Rules!$C$62="","",Rules!$C$62)</f>
        <v>PAYCHEX TAX</v>
      </c>
      <c r="D61" s="143" t="str">
        <f>IF(Rules!$C$62="","",Rules!$D$62)</f>
        <v>Employer Payroll Taxes</v>
      </c>
      <c r="E61" s="73" t="str">
        <f>IF(Rules!$C$62="","",Rules!$E$62)</f>
        <v>Out</v>
      </c>
      <c r="F61" s="73" t="str">
        <f>IF(Rules!$C$62="","",Rules!$G$62)</f>
        <v>Yes</v>
      </c>
      <c r="G61" s="144">
        <v>62</v>
      </c>
      <c r="H61" s="145" t="str">
        <f>IF(Rules!$C$62="","",TRIM(IF(COUNTIFS(Rules_Key,Rules!$C$62,Rules_Dir,Rules!$E$62)&gt;1,"Duplicate keyword+direction. ","")&amp;IF(LEN(Rules!$C$62)&lt;5,"Keyword under 5 characters - matches too much. ","")&amp;IF(AND(Rules!$D$62&lt;&gt;"",COUNTIF(Cat_Name,Rules!$D$62)=0),"Category is not on the Categories sheet - rows will fall to Review Required. ","")&amp;IF(Rules!$F$62="Broad","Broad scope - deliberately forces Review Required. ","")&amp;IF(Rules!$G$62&lt;&gt;"Yes","Rule is switched OFF. ","")&amp;IF(AND(Rules!$C$62&lt;&gt;"",Rules!$D$62=""),"Keyword with no category. ","")))</f>
        <v/>
      </c>
    </row>
    <row r="62" spans="2:8" x14ac:dyDescent="0.25">
      <c r="B62" s="75">
        <f>IF(Rules!$C$63="","",Rules!$B$63)</f>
        <v>150</v>
      </c>
      <c r="C62" s="146" t="str">
        <f>IF(Rules!$C$63="","",Rules!$C$63)</f>
        <v>PAYCHEX FEE</v>
      </c>
      <c r="D62" s="146" t="str">
        <f>IF(Rules!$C$63="","",Rules!$D$63)</f>
        <v>Payroll Service Fees</v>
      </c>
      <c r="E62" s="75" t="str">
        <f>IF(Rules!$C$63="","",Rules!$E$63)</f>
        <v>Out</v>
      </c>
      <c r="F62" s="75" t="str">
        <f>IF(Rules!$C$63="","",Rules!$G$63)</f>
        <v>Yes</v>
      </c>
      <c r="G62" s="147">
        <v>63</v>
      </c>
      <c r="H62" s="148" t="str">
        <f>IF(Rules!$C$63="","",TRIM(IF(COUNTIFS(Rules_Key,Rules!$C$63,Rules_Dir,Rules!$E$63)&gt;1,"Duplicate keyword+direction. ","")&amp;IF(LEN(Rules!$C$63)&lt;5,"Keyword under 5 characters - matches too much. ","")&amp;IF(AND(Rules!$D$63&lt;&gt;"",COUNTIF(Cat_Name,Rules!$D$63)=0),"Category is not on the Categories sheet - rows will fall to Review Required. ","")&amp;IF(Rules!$F$63="Broad","Broad scope - deliberately forces Review Required. ","")&amp;IF(Rules!$G$63&lt;&gt;"Yes","Rule is switched OFF. ","")&amp;IF(AND(Rules!$C$63&lt;&gt;"",Rules!$D$63=""),"Keyword with no category. ","")))</f>
        <v/>
      </c>
    </row>
    <row r="63" spans="2:8" x14ac:dyDescent="0.25">
      <c r="B63" s="73">
        <f>IF(Rules!$C$64="","",Rules!$B$64)</f>
        <v>150</v>
      </c>
      <c r="C63" s="143" t="str">
        <f>IF(Rules!$C$64="","",Rules!$C$64)</f>
        <v>PAYCHEX SERVICE FEE</v>
      </c>
      <c r="D63" s="143" t="str">
        <f>IF(Rules!$C$64="","",Rules!$D$64)</f>
        <v>Payroll Service Fees</v>
      </c>
      <c r="E63" s="73" t="str">
        <f>IF(Rules!$C$64="","",Rules!$E$64)</f>
        <v>Out</v>
      </c>
      <c r="F63" s="73" t="str">
        <f>IF(Rules!$C$64="","",Rules!$G$64)</f>
        <v>Yes</v>
      </c>
      <c r="G63" s="144">
        <v>64</v>
      </c>
      <c r="H63" s="145" t="str">
        <f>IF(Rules!$C$64="","",TRIM(IF(COUNTIFS(Rules_Key,Rules!$C$64,Rules_Dir,Rules!$E$64)&gt;1,"Duplicate keyword+direction. ","")&amp;IF(LEN(Rules!$C$64)&lt;5,"Keyword under 5 characters - matches too much. ","")&amp;IF(AND(Rules!$D$64&lt;&gt;"",COUNTIF(Cat_Name,Rules!$D$64)=0),"Category is not on the Categories sheet - rows will fall to Review Required. ","")&amp;IF(Rules!$F$64="Broad","Broad scope - deliberately forces Review Required. ","")&amp;IF(Rules!$G$64&lt;&gt;"Yes","Rule is switched OFF. ","")&amp;IF(AND(Rules!$C$64&lt;&gt;"",Rules!$D$64=""),"Keyword with no category. ","")))</f>
        <v/>
      </c>
    </row>
    <row r="64" spans="2:8" x14ac:dyDescent="0.25">
      <c r="B64" s="75">
        <f>IF(Rules!$C$65="","",Rules!$B$65)</f>
        <v>150</v>
      </c>
      <c r="C64" s="146" t="str">
        <f>IF(Rules!$C$65="","",Rules!$C$65)</f>
        <v>PAYCHEX BENEFIT</v>
      </c>
      <c r="D64" s="146" t="str">
        <f>IF(Rules!$C$65="","",Rules!$D$65)</f>
        <v>Payroll Cash Movement</v>
      </c>
      <c r="E64" s="75" t="str">
        <f>IF(Rules!$C$65="","",Rules!$E$65)</f>
        <v>Out</v>
      </c>
      <c r="F64" s="75" t="str">
        <f>IF(Rules!$C$65="","",Rules!$G$65)</f>
        <v>Yes</v>
      </c>
      <c r="G64" s="147">
        <v>65</v>
      </c>
      <c r="H64" s="148" t="str">
        <f>IF(Rules!$C$65="","",TRIM(IF(COUNTIFS(Rules_Key,Rules!$C$65,Rules_Dir,Rules!$E$65)&gt;1,"Duplicate keyword+direction. ","")&amp;IF(LEN(Rules!$C$65)&lt;5,"Keyword under 5 characters - matches too much. ","")&amp;IF(AND(Rules!$D$65&lt;&gt;"",COUNTIF(Cat_Name,Rules!$D$65)=0),"Category is not on the Categories sheet - rows will fall to Review Required. ","")&amp;IF(Rules!$F$65="Broad","Broad scope - deliberately forces Review Required. ","")&amp;IF(Rules!$G$65&lt;&gt;"Yes","Rule is switched OFF. ","")&amp;IF(AND(Rules!$C$65&lt;&gt;"",Rules!$D$65=""),"Keyword with no category. ","")))</f>
        <v/>
      </c>
    </row>
    <row r="65" spans="2:8" x14ac:dyDescent="0.25">
      <c r="B65" s="73">
        <f>IF(Rules!$C$66="","",Rules!$B$66)</f>
        <v>150</v>
      </c>
      <c r="C65" s="143" t="str">
        <f>IF(Rules!$C$66="","",Rules!$C$66)</f>
        <v>RIPPLING PAYROLL</v>
      </c>
      <c r="D65" s="143" t="str">
        <f>IF(Rules!$C$66="","",Rules!$D$66)</f>
        <v>Payroll Cash Movement</v>
      </c>
      <c r="E65" s="73" t="str">
        <f>IF(Rules!$C$66="","",Rules!$E$66)</f>
        <v>Out</v>
      </c>
      <c r="F65" s="73" t="str">
        <f>IF(Rules!$C$66="","",Rules!$G$66)</f>
        <v>Yes</v>
      </c>
      <c r="G65" s="144">
        <v>66</v>
      </c>
      <c r="H65" s="145" t="str">
        <f>IF(Rules!$C$66="","",TRIM(IF(COUNTIFS(Rules_Key,Rules!$C$66,Rules_Dir,Rules!$E$66)&gt;1,"Duplicate keyword+direction. ","")&amp;IF(LEN(Rules!$C$66)&lt;5,"Keyword under 5 characters - matches too much. ","")&amp;IF(AND(Rules!$D$66&lt;&gt;"",COUNTIF(Cat_Name,Rules!$D$66)=0),"Category is not on the Categories sheet - rows will fall to Review Required. ","")&amp;IF(Rules!$F$66="Broad","Broad scope - deliberately forces Review Required. ","")&amp;IF(Rules!$G$66&lt;&gt;"Yes","Rule is switched OFF. ","")&amp;IF(AND(Rules!$C$66&lt;&gt;"",Rules!$D$66=""),"Keyword with no category. ","")))</f>
        <v/>
      </c>
    </row>
    <row r="66" spans="2:8" x14ac:dyDescent="0.25">
      <c r="B66" s="75">
        <f>IF(Rules!$C$67="","",Rules!$B$67)</f>
        <v>150</v>
      </c>
      <c r="C66" s="146" t="str">
        <f>IF(Rules!$C$67="","",Rules!$C$67)</f>
        <v>RIPPLING NET PAY</v>
      </c>
      <c r="D66" s="146" t="str">
        <f>IF(Rules!$C$67="","",Rules!$D$67)</f>
        <v>Payroll Cash Movement</v>
      </c>
      <c r="E66" s="75" t="str">
        <f>IF(Rules!$C$67="","",Rules!$E$67)</f>
        <v>Out</v>
      </c>
      <c r="F66" s="75" t="str">
        <f>IF(Rules!$C$67="","",Rules!$G$67)</f>
        <v>Yes</v>
      </c>
      <c r="G66" s="147">
        <v>67</v>
      </c>
      <c r="H66" s="148" t="str">
        <f>IF(Rules!$C$67="","",TRIM(IF(COUNTIFS(Rules_Key,Rules!$C$67,Rules_Dir,Rules!$E$67)&gt;1,"Duplicate keyword+direction. ","")&amp;IF(LEN(Rules!$C$67)&lt;5,"Keyword under 5 characters - matches too much. ","")&amp;IF(AND(Rules!$D$67&lt;&gt;"",COUNTIF(Cat_Name,Rules!$D$67)=0),"Category is not on the Categories sheet - rows will fall to Review Required. ","")&amp;IF(Rules!$F$67="Broad","Broad scope - deliberately forces Review Required. ","")&amp;IF(Rules!$G$67&lt;&gt;"Yes","Rule is switched OFF. ","")&amp;IF(AND(Rules!$C$67&lt;&gt;"",Rules!$D$67=""),"Keyword with no category. ","")))</f>
        <v/>
      </c>
    </row>
    <row r="67" spans="2:8" x14ac:dyDescent="0.25">
      <c r="B67" s="73">
        <f>IF(Rules!$C$68="","",Rules!$B$68)</f>
        <v>150</v>
      </c>
      <c r="C67" s="143" t="str">
        <f>IF(Rules!$C$68="","",Rules!$C$68)</f>
        <v>RIPPLING WAGE</v>
      </c>
      <c r="D67" s="143" t="str">
        <f>IF(Rules!$C$68="","",Rules!$D$68)</f>
        <v>Payroll Cash Movement</v>
      </c>
      <c r="E67" s="73" t="str">
        <f>IF(Rules!$C$68="","",Rules!$E$68)</f>
        <v>Out</v>
      </c>
      <c r="F67" s="73" t="str">
        <f>IF(Rules!$C$68="","",Rules!$G$68)</f>
        <v>Yes</v>
      </c>
      <c r="G67" s="144">
        <v>68</v>
      </c>
      <c r="H67" s="145" t="str">
        <f>IF(Rules!$C$68="","",TRIM(IF(COUNTIFS(Rules_Key,Rules!$C$68,Rules_Dir,Rules!$E$68)&gt;1,"Duplicate keyword+direction. ","")&amp;IF(LEN(Rules!$C$68)&lt;5,"Keyword under 5 characters - matches too much. ","")&amp;IF(AND(Rules!$D$68&lt;&gt;"",COUNTIF(Cat_Name,Rules!$D$68)=0),"Category is not on the Categories sheet - rows will fall to Review Required. ","")&amp;IF(Rules!$F$68="Broad","Broad scope - deliberately forces Review Required. ","")&amp;IF(Rules!$G$68&lt;&gt;"Yes","Rule is switched OFF. ","")&amp;IF(AND(Rules!$C$68&lt;&gt;"",Rules!$D$68=""),"Keyword with no category. ","")))</f>
        <v/>
      </c>
    </row>
    <row r="68" spans="2:8" x14ac:dyDescent="0.25">
      <c r="B68" s="75">
        <f>IF(Rules!$C$69="","",Rules!$B$69)</f>
        <v>150</v>
      </c>
      <c r="C68" s="146" t="str">
        <f>IF(Rules!$C$69="","",Rules!$C$69)</f>
        <v>RIPPLING TAX</v>
      </c>
      <c r="D68" s="146" t="str">
        <f>IF(Rules!$C$69="","",Rules!$D$69)</f>
        <v>Employer Payroll Taxes</v>
      </c>
      <c r="E68" s="75" t="str">
        <f>IF(Rules!$C$69="","",Rules!$E$69)</f>
        <v>Out</v>
      </c>
      <c r="F68" s="75" t="str">
        <f>IF(Rules!$C$69="","",Rules!$G$69)</f>
        <v>Yes</v>
      </c>
      <c r="G68" s="147">
        <v>69</v>
      </c>
      <c r="H68" s="148" t="str">
        <f>IF(Rules!$C$69="","",TRIM(IF(COUNTIFS(Rules_Key,Rules!$C$69,Rules_Dir,Rules!$E$69)&gt;1,"Duplicate keyword+direction. ","")&amp;IF(LEN(Rules!$C$69)&lt;5,"Keyword under 5 characters - matches too much. ","")&amp;IF(AND(Rules!$D$69&lt;&gt;"",COUNTIF(Cat_Name,Rules!$D$69)=0),"Category is not on the Categories sheet - rows will fall to Review Required. ","")&amp;IF(Rules!$F$69="Broad","Broad scope - deliberately forces Review Required. ","")&amp;IF(Rules!$G$69&lt;&gt;"Yes","Rule is switched OFF. ","")&amp;IF(AND(Rules!$C$69&lt;&gt;"",Rules!$D$69=""),"Keyword with no category. ","")))</f>
        <v/>
      </c>
    </row>
    <row r="69" spans="2:8" x14ac:dyDescent="0.25">
      <c r="B69" s="73">
        <f>IF(Rules!$C$70="","",Rules!$B$70)</f>
        <v>150</v>
      </c>
      <c r="C69" s="143" t="str">
        <f>IF(Rules!$C$70="","",Rules!$C$70)</f>
        <v>RIPPLING FEE</v>
      </c>
      <c r="D69" s="143" t="str">
        <f>IF(Rules!$C$70="","",Rules!$D$70)</f>
        <v>Payroll Service Fees</v>
      </c>
      <c r="E69" s="73" t="str">
        <f>IF(Rules!$C$70="","",Rules!$E$70)</f>
        <v>Out</v>
      </c>
      <c r="F69" s="73" t="str">
        <f>IF(Rules!$C$70="","",Rules!$G$70)</f>
        <v>Yes</v>
      </c>
      <c r="G69" s="144">
        <v>70</v>
      </c>
      <c r="H69" s="145" t="str">
        <f>IF(Rules!$C$70="","",TRIM(IF(COUNTIFS(Rules_Key,Rules!$C$70,Rules_Dir,Rules!$E$70)&gt;1,"Duplicate keyword+direction. ","")&amp;IF(LEN(Rules!$C$70)&lt;5,"Keyword under 5 characters - matches too much. ","")&amp;IF(AND(Rules!$D$70&lt;&gt;"",COUNTIF(Cat_Name,Rules!$D$70)=0),"Category is not on the Categories sheet - rows will fall to Review Required. ","")&amp;IF(Rules!$F$70="Broad","Broad scope - deliberately forces Review Required. ","")&amp;IF(Rules!$G$70&lt;&gt;"Yes","Rule is switched OFF. ","")&amp;IF(AND(Rules!$C$70&lt;&gt;"",Rules!$D$70=""),"Keyword with no category. ","")))</f>
        <v/>
      </c>
    </row>
    <row r="70" spans="2:8" x14ac:dyDescent="0.25">
      <c r="B70" s="75">
        <f>IF(Rules!$C$71="","",Rules!$B$71)</f>
        <v>150</v>
      </c>
      <c r="C70" s="146" t="str">
        <f>IF(Rules!$C$71="","",Rules!$C$71)</f>
        <v>RIPPLING SERVICE FEE</v>
      </c>
      <c r="D70" s="146" t="str">
        <f>IF(Rules!$C$71="","",Rules!$D$71)</f>
        <v>Payroll Service Fees</v>
      </c>
      <c r="E70" s="75" t="str">
        <f>IF(Rules!$C$71="","",Rules!$E$71)</f>
        <v>Out</v>
      </c>
      <c r="F70" s="75" t="str">
        <f>IF(Rules!$C$71="","",Rules!$G$71)</f>
        <v>Yes</v>
      </c>
      <c r="G70" s="147">
        <v>71</v>
      </c>
      <c r="H70" s="148" t="str">
        <f>IF(Rules!$C$71="","",TRIM(IF(COUNTIFS(Rules_Key,Rules!$C$71,Rules_Dir,Rules!$E$71)&gt;1,"Duplicate keyword+direction. ","")&amp;IF(LEN(Rules!$C$71)&lt;5,"Keyword under 5 characters - matches too much. ","")&amp;IF(AND(Rules!$D$71&lt;&gt;"",COUNTIF(Cat_Name,Rules!$D$71)=0),"Category is not on the Categories sheet - rows will fall to Review Required. ","")&amp;IF(Rules!$F$71="Broad","Broad scope - deliberately forces Review Required. ","")&amp;IF(Rules!$G$71&lt;&gt;"Yes","Rule is switched OFF. ","")&amp;IF(AND(Rules!$C$71&lt;&gt;"",Rules!$D$71=""),"Keyword with no category. ","")))</f>
        <v/>
      </c>
    </row>
    <row r="71" spans="2:8" x14ac:dyDescent="0.25">
      <c r="B71" s="73">
        <f>IF(Rules!$C$72="","",Rules!$B$72)</f>
        <v>150</v>
      </c>
      <c r="C71" s="143" t="str">
        <f>IF(Rules!$C$72="","",Rules!$C$72)</f>
        <v>RIPPLING BENEFIT</v>
      </c>
      <c r="D71" s="143" t="str">
        <f>IF(Rules!$C$72="","",Rules!$D$72)</f>
        <v>Payroll Cash Movement</v>
      </c>
      <c r="E71" s="73" t="str">
        <f>IF(Rules!$C$72="","",Rules!$E$72)</f>
        <v>Out</v>
      </c>
      <c r="F71" s="73" t="str">
        <f>IF(Rules!$C$72="","",Rules!$G$72)</f>
        <v>Yes</v>
      </c>
      <c r="G71" s="144">
        <v>72</v>
      </c>
      <c r="H71" s="145" t="str">
        <f>IF(Rules!$C$72="","",TRIM(IF(COUNTIFS(Rules_Key,Rules!$C$72,Rules_Dir,Rules!$E$72)&gt;1,"Duplicate keyword+direction. ","")&amp;IF(LEN(Rules!$C$72)&lt;5,"Keyword under 5 characters - matches too much. ","")&amp;IF(AND(Rules!$D$72&lt;&gt;"",COUNTIF(Cat_Name,Rules!$D$72)=0),"Category is not on the Categories sheet - rows will fall to Review Required. ","")&amp;IF(Rules!$F$72="Broad","Broad scope - deliberately forces Review Required. ","")&amp;IF(Rules!$G$72&lt;&gt;"Yes","Rule is switched OFF. ","")&amp;IF(AND(Rules!$C$72&lt;&gt;"",Rules!$D$72=""),"Keyword with no category. ","")))</f>
        <v/>
      </c>
    </row>
    <row r="72" spans="2:8" x14ac:dyDescent="0.25">
      <c r="B72" s="75">
        <f>IF(Rules!$C$73="","",Rules!$B$73)</f>
        <v>150</v>
      </c>
      <c r="C72" s="146" t="str">
        <f>IF(Rules!$C$73="","",Rules!$C$73)</f>
        <v>JUSTWORKS PAYROLL</v>
      </c>
      <c r="D72" s="146" t="str">
        <f>IF(Rules!$C$73="","",Rules!$D$73)</f>
        <v>Payroll Cash Movement</v>
      </c>
      <c r="E72" s="75" t="str">
        <f>IF(Rules!$C$73="","",Rules!$E$73)</f>
        <v>Out</v>
      </c>
      <c r="F72" s="75" t="str">
        <f>IF(Rules!$C$73="","",Rules!$G$73)</f>
        <v>Yes</v>
      </c>
      <c r="G72" s="147">
        <v>73</v>
      </c>
      <c r="H72" s="148" t="str">
        <f>IF(Rules!$C$73="","",TRIM(IF(COUNTIFS(Rules_Key,Rules!$C$73,Rules_Dir,Rules!$E$73)&gt;1,"Duplicate keyword+direction. ","")&amp;IF(LEN(Rules!$C$73)&lt;5,"Keyword under 5 characters - matches too much. ","")&amp;IF(AND(Rules!$D$73&lt;&gt;"",COUNTIF(Cat_Name,Rules!$D$73)=0),"Category is not on the Categories sheet - rows will fall to Review Required. ","")&amp;IF(Rules!$F$73="Broad","Broad scope - deliberately forces Review Required. ","")&amp;IF(Rules!$G$73&lt;&gt;"Yes","Rule is switched OFF. ","")&amp;IF(AND(Rules!$C$73&lt;&gt;"",Rules!$D$73=""),"Keyword with no category. ","")))</f>
        <v/>
      </c>
    </row>
    <row r="73" spans="2:8" x14ac:dyDescent="0.25">
      <c r="B73" s="73">
        <f>IF(Rules!$C$74="","",Rules!$B$74)</f>
        <v>150</v>
      </c>
      <c r="C73" s="143" t="str">
        <f>IF(Rules!$C$74="","",Rules!$C$74)</f>
        <v>JUSTWORKS NET PAY</v>
      </c>
      <c r="D73" s="143" t="str">
        <f>IF(Rules!$C$74="","",Rules!$D$74)</f>
        <v>Payroll Cash Movement</v>
      </c>
      <c r="E73" s="73" t="str">
        <f>IF(Rules!$C$74="","",Rules!$E$74)</f>
        <v>Out</v>
      </c>
      <c r="F73" s="73" t="str">
        <f>IF(Rules!$C$74="","",Rules!$G$74)</f>
        <v>Yes</v>
      </c>
      <c r="G73" s="144">
        <v>74</v>
      </c>
      <c r="H73" s="145" t="str">
        <f>IF(Rules!$C$74="","",TRIM(IF(COUNTIFS(Rules_Key,Rules!$C$74,Rules_Dir,Rules!$E$74)&gt;1,"Duplicate keyword+direction. ","")&amp;IF(LEN(Rules!$C$74)&lt;5,"Keyword under 5 characters - matches too much. ","")&amp;IF(AND(Rules!$D$74&lt;&gt;"",COUNTIF(Cat_Name,Rules!$D$74)=0),"Category is not on the Categories sheet - rows will fall to Review Required. ","")&amp;IF(Rules!$F$74="Broad","Broad scope - deliberately forces Review Required. ","")&amp;IF(Rules!$G$74&lt;&gt;"Yes","Rule is switched OFF. ","")&amp;IF(AND(Rules!$C$74&lt;&gt;"",Rules!$D$74=""),"Keyword with no category. ","")))</f>
        <v/>
      </c>
    </row>
    <row r="74" spans="2:8" x14ac:dyDescent="0.25">
      <c r="B74" s="75">
        <f>IF(Rules!$C$75="","",Rules!$B$75)</f>
        <v>150</v>
      </c>
      <c r="C74" s="146" t="str">
        <f>IF(Rules!$C$75="","",Rules!$C$75)</f>
        <v>JUSTWORKS WAGE</v>
      </c>
      <c r="D74" s="146" t="str">
        <f>IF(Rules!$C$75="","",Rules!$D$75)</f>
        <v>Payroll Cash Movement</v>
      </c>
      <c r="E74" s="75" t="str">
        <f>IF(Rules!$C$75="","",Rules!$E$75)</f>
        <v>Out</v>
      </c>
      <c r="F74" s="75" t="str">
        <f>IF(Rules!$C$75="","",Rules!$G$75)</f>
        <v>Yes</v>
      </c>
      <c r="G74" s="147">
        <v>75</v>
      </c>
      <c r="H74" s="148" t="str">
        <f>IF(Rules!$C$75="","",TRIM(IF(COUNTIFS(Rules_Key,Rules!$C$75,Rules_Dir,Rules!$E$75)&gt;1,"Duplicate keyword+direction. ","")&amp;IF(LEN(Rules!$C$75)&lt;5,"Keyword under 5 characters - matches too much. ","")&amp;IF(AND(Rules!$D$75&lt;&gt;"",COUNTIF(Cat_Name,Rules!$D$75)=0),"Category is not on the Categories sheet - rows will fall to Review Required. ","")&amp;IF(Rules!$F$75="Broad","Broad scope - deliberately forces Review Required. ","")&amp;IF(Rules!$G$75&lt;&gt;"Yes","Rule is switched OFF. ","")&amp;IF(AND(Rules!$C$75&lt;&gt;"",Rules!$D$75=""),"Keyword with no category. ","")))</f>
        <v/>
      </c>
    </row>
    <row r="75" spans="2:8" x14ac:dyDescent="0.25">
      <c r="B75" s="73">
        <f>IF(Rules!$C$76="","",Rules!$B$76)</f>
        <v>150</v>
      </c>
      <c r="C75" s="143" t="str">
        <f>IF(Rules!$C$76="","",Rules!$C$76)</f>
        <v>JUSTWORKS TAX</v>
      </c>
      <c r="D75" s="143" t="str">
        <f>IF(Rules!$C$76="","",Rules!$D$76)</f>
        <v>Employer Payroll Taxes</v>
      </c>
      <c r="E75" s="73" t="str">
        <f>IF(Rules!$C$76="","",Rules!$E$76)</f>
        <v>Out</v>
      </c>
      <c r="F75" s="73" t="str">
        <f>IF(Rules!$C$76="","",Rules!$G$76)</f>
        <v>Yes</v>
      </c>
      <c r="G75" s="144">
        <v>76</v>
      </c>
      <c r="H75" s="145" t="str">
        <f>IF(Rules!$C$76="","",TRIM(IF(COUNTIFS(Rules_Key,Rules!$C$76,Rules_Dir,Rules!$E$76)&gt;1,"Duplicate keyword+direction. ","")&amp;IF(LEN(Rules!$C$76)&lt;5,"Keyword under 5 characters - matches too much. ","")&amp;IF(AND(Rules!$D$76&lt;&gt;"",COUNTIF(Cat_Name,Rules!$D$76)=0),"Category is not on the Categories sheet - rows will fall to Review Required. ","")&amp;IF(Rules!$F$76="Broad","Broad scope - deliberately forces Review Required. ","")&amp;IF(Rules!$G$76&lt;&gt;"Yes","Rule is switched OFF. ","")&amp;IF(AND(Rules!$C$76&lt;&gt;"",Rules!$D$76=""),"Keyword with no category. ","")))</f>
        <v/>
      </c>
    </row>
    <row r="76" spans="2:8" x14ac:dyDescent="0.25">
      <c r="B76" s="75">
        <f>IF(Rules!$C$77="","",Rules!$B$77)</f>
        <v>150</v>
      </c>
      <c r="C76" s="146" t="str">
        <f>IF(Rules!$C$77="","",Rules!$C$77)</f>
        <v>JUSTWORKS FEE</v>
      </c>
      <c r="D76" s="146" t="str">
        <f>IF(Rules!$C$77="","",Rules!$D$77)</f>
        <v>Payroll Service Fees</v>
      </c>
      <c r="E76" s="75" t="str">
        <f>IF(Rules!$C$77="","",Rules!$E$77)</f>
        <v>Out</v>
      </c>
      <c r="F76" s="75" t="str">
        <f>IF(Rules!$C$77="","",Rules!$G$77)</f>
        <v>Yes</v>
      </c>
      <c r="G76" s="147">
        <v>77</v>
      </c>
      <c r="H76" s="148" t="str">
        <f>IF(Rules!$C$77="","",TRIM(IF(COUNTIFS(Rules_Key,Rules!$C$77,Rules_Dir,Rules!$E$77)&gt;1,"Duplicate keyword+direction. ","")&amp;IF(LEN(Rules!$C$77)&lt;5,"Keyword under 5 characters - matches too much. ","")&amp;IF(AND(Rules!$D$77&lt;&gt;"",COUNTIF(Cat_Name,Rules!$D$77)=0),"Category is not on the Categories sheet - rows will fall to Review Required. ","")&amp;IF(Rules!$F$77="Broad","Broad scope - deliberately forces Review Required. ","")&amp;IF(Rules!$G$77&lt;&gt;"Yes","Rule is switched OFF. ","")&amp;IF(AND(Rules!$C$77&lt;&gt;"",Rules!$D$77=""),"Keyword with no category. ","")))</f>
        <v/>
      </c>
    </row>
    <row r="77" spans="2:8" x14ac:dyDescent="0.25">
      <c r="B77" s="73">
        <f>IF(Rules!$C$78="","",Rules!$B$78)</f>
        <v>150</v>
      </c>
      <c r="C77" s="143" t="str">
        <f>IF(Rules!$C$78="","",Rules!$C$78)</f>
        <v>JUSTWORKS SERVICE FEE</v>
      </c>
      <c r="D77" s="143" t="str">
        <f>IF(Rules!$C$78="","",Rules!$D$78)</f>
        <v>Payroll Service Fees</v>
      </c>
      <c r="E77" s="73" t="str">
        <f>IF(Rules!$C$78="","",Rules!$E$78)</f>
        <v>Out</v>
      </c>
      <c r="F77" s="73" t="str">
        <f>IF(Rules!$C$78="","",Rules!$G$78)</f>
        <v>Yes</v>
      </c>
      <c r="G77" s="144">
        <v>78</v>
      </c>
      <c r="H77" s="145" t="str">
        <f>IF(Rules!$C$78="","",TRIM(IF(COUNTIFS(Rules_Key,Rules!$C$78,Rules_Dir,Rules!$E$78)&gt;1,"Duplicate keyword+direction. ","")&amp;IF(LEN(Rules!$C$78)&lt;5,"Keyword under 5 characters - matches too much. ","")&amp;IF(AND(Rules!$D$78&lt;&gt;"",COUNTIF(Cat_Name,Rules!$D$78)=0),"Category is not on the Categories sheet - rows will fall to Review Required. ","")&amp;IF(Rules!$F$78="Broad","Broad scope - deliberately forces Review Required. ","")&amp;IF(Rules!$G$78&lt;&gt;"Yes","Rule is switched OFF. ","")&amp;IF(AND(Rules!$C$78&lt;&gt;"",Rules!$D$78=""),"Keyword with no category. ","")))</f>
        <v/>
      </c>
    </row>
    <row r="78" spans="2:8" x14ac:dyDescent="0.25">
      <c r="B78" s="75">
        <f>IF(Rules!$C$79="","",Rules!$B$79)</f>
        <v>150</v>
      </c>
      <c r="C78" s="146" t="str">
        <f>IF(Rules!$C$79="","",Rules!$C$79)</f>
        <v>JUSTWORKS BENEFIT</v>
      </c>
      <c r="D78" s="146" t="str">
        <f>IF(Rules!$C$79="","",Rules!$D$79)</f>
        <v>Payroll Cash Movement</v>
      </c>
      <c r="E78" s="75" t="str">
        <f>IF(Rules!$C$79="","",Rules!$E$79)</f>
        <v>Out</v>
      </c>
      <c r="F78" s="75" t="str">
        <f>IF(Rules!$C$79="","",Rules!$G$79)</f>
        <v>Yes</v>
      </c>
      <c r="G78" s="147">
        <v>79</v>
      </c>
      <c r="H78" s="148" t="str">
        <f>IF(Rules!$C$79="","",TRIM(IF(COUNTIFS(Rules_Key,Rules!$C$79,Rules_Dir,Rules!$E$79)&gt;1,"Duplicate keyword+direction. ","")&amp;IF(LEN(Rules!$C$79)&lt;5,"Keyword under 5 characters - matches too much. ","")&amp;IF(AND(Rules!$D$79&lt;&gt;"",COUNTIF(Cat_Name,Rules!$D$79)=0),"Category is not on the Categories sheet - rows will fall to Review Required. ","")&amp;IF(Rules!$F$79="Broad","Broad scope - deliberately forces Review Required. ","")&amp;IF(Rules!$G$79&lt;&gt;"Yes","Rule is switched OFF. ","")&amp;IF(AND(Rules!$C$79&lt;&gt;"",Rules!$D$79=""),"Keyword with no category. ","")))</f>
        <v/>
      </c>
    </row>
    <row r="79" spans="2:8" x14ac:dyDescent="0.25">
      <c r="B79" s="73">
        <f>IF(Rules!$C$80="","",Rules!$B$80)</f>
        <v>150</v>
      </c>
      <c r="C79" s="143" t="str">
        <f>IF(Rules!$C$80="","",Rules!$C$80)</f>
        <v>TRINET PAYROLL</v>
      </c>
      <c r="D79" s="143" t="str">
        <f>IF(Rules!$C$80="","",Rules!$D$80)</f>
        <v>Payroll Cash Movement</v>
      </c>
      <c r="E79" s="73" t="str">
        <f>IF(Rules!$C$80="","",Rules!$E$80)</f>
        <v>Out</v>
      </c>
      <c r="F79" s="73" t="str">
        <f>IF(Rules!$C$80="","",Rules!$G$80)</f>
        <v>Yes</v>
      </c>
      <c r="G79" s="144">
        <v>80</v>
      </c>
      <c r="H79" s="145" t="str">
        <f>IF(Rules!$C$80="","",TRIM(IF(COUNTIFS(Rules_Key,Rules!$C$80,Rules_Dir,Rules!$E$80)&gt;1,"Duplicate keyword+direction. ","")&amp;IF(LEN(Rules!$C$80)&lt;5,"Keyword under 5 characters - matches too much. ","")&amp;IF(AND(Rules!$D$80&lt;&gt;"",COUNTIF(Cat_Name,Rules!$D$80)=0),"Category is not on the Categories sheet - rows will fall to Review Required. ","")&amp;IF(Rules!$F$80="Broad","Broad scope - deliberately forces Review Required. ","")&amp;IF(Rules!$G$80&lt;&gt;"Yes","Rule is switched OFF. ","")&amp;IF(AND(Rules!$C$80&lt;&gt;"",Rules!$D$80=""),"Keyword with no category. ","")))</f>
        <v/>
      </c>
    </row>
    <row r="80" spans="2:8" x14ac:dyDescent="0.25">
      <c r="B80" s="75">
        <f>IF(Rules!$C$81="","",Rules!$B$81)</f>
        <v>150</v>
      </c>
      <c r="C80" s="146" t="str">
        <f>IF(Rules!$C$81="","",Rules!$C$81)</f>
        <v>TRINET NET PAY</v>
      </c>
      <c r="D80" s="146" t="str">
        <f>IF(Rules!$C$81="","",Rules!$D$81)</f>
        <v>Payroll Cash Movement</v>
      </c>
      <c r="E80" s="75" t="str">
        <f>IF(Rules!$C$81="","",Rules!$E$81)</f>
        <v>Out</v>
      </c>
      <c r="F80" s="75" t="str">
        <f>IF(Rules!$C$81="","",Rules!$G$81)</f>
        <v>Yes</v>
      </c>
      <c r="G80" s="147">
        <v>81</v>
      </c>
      <c r="H80" s="148" t="str">
        <f>IF(Rules!$C$81="","",TRIM(IF(COUNTIFS(Rules_Key,Rules!$C$81,Rules_Dir,Rules!$E$81)&gt;1,"Duplicate keyword+direction. ","")&amp;IF(LEN(Rules!$C$81)&lt;5,"Keyword under 5 characters - matches too much. ","")&amp;IF(AND(Rules!$D$81&lt;&gt;"",COUNTIF(Cat_Name,Rules!$D$81)=0),"Category is not on the Categories sheet - rows will fall to Review Required. ","")&amp;IF(Rules!$F$81="Broad","Broad scope - deliberately forces Review Required. ","")&amp;IF(Rules!$G$81&lt;&gt;"Yes","Rule is switched OFF. ","")&amp;IF(AND(Rules!$C$81&lt;&gt;"",Rules!$D$81=""),"Keyword with no category. ","")))</f>
        <v/>
      </c>
    </row>
    <row r="81" spans="2:8" x14ac:dyDescent="0.25">
      <c r="B81" s="73">
        <f>IF(Rules!$C$82="","",Rules!$B$82)</f>
        <v>150</v>
      </c>
      <c r="C81" s="143" t="str">
        <f>IF(Rules!$C$82="","",Rules!$C$82)</f>
        <v>TRINET WAGE</v>
      </c>
      <c r="D81" s="143" t="str">
        <f>IF(Rules!$C$82="","",Rules!$D$82)</f>
        <v>Payroll Cash Movement</v>
      </c>
      <c r="E81" s="73" t="str">
        <f>IF(Rules!$C$82="","",Rules!$E$82)</f>
        <v>Out</v>
      </c>
      <c r="F81" s="73" t="str">
        <f>IF(Rules!$C$82="","",Rules!$G$82)</f>
        <v>Yes</v>
      </c>
      <c r="G81" s="144">
        <v>82</v>
      </c>
      <c r="H81" s="145" t="str">
        <f>IF(Rules!$C$82="","",TRIM(IF(COUNTIFS(Rules_Key,Rules!$C$82,Rules_Dir,Rules!$E$82)&gt;1,"Duplicate keyword+direction. ","")&amp;IF(LEN(Rules!$C$82)&lt;5,"Keyword under 5 characters - matches too much. ","")&amp;IF(AND(Rules!$D$82&lt;&gt;"",COUNTIF(Cat_Name,Rules!$D$82)=0),"Category is not on the Categories sheet - rows will fall to Review Required. ","")&amp;IF(Rules!$F$82="Broad","Broad scope - deliberately forces Review Required. ","")&amp;IF(Rules!$G$82&lt;&gt;"Yes","Rule is switched OFF. ","")&amp;IF(AND(Rules!$C$82&lt;&gt;"",Rules!$D$82=""),"Keyword with no category. ","")))</f>
        <v/>
      </c>
    </row>
    <row r="82" spans="2:8" x14ac:dyDescent="0.25">
      <c r="B82" s="75">
        <f>IF(Rules!$C$83="","",Rules!$B$83)</f>
        <v>150</v>
      </c>
      <c r="C82" s="146" t="str">
        <f>IF(Rules!$C$83="","",Rules!$C$83)</f>
        <v>TRINET TAX</v>
      </c>
      <c r="D82" s="146" t="str">
        <f>IF(Rules!$C$83="","",Rules!$D$83)</f>
        <v>Employer Payroll Taxes</v>
      </c>
      <c r="E82" s="75" t="str">
        <f>IF(Rules!$C$83="","",Rules!$E$83)</f>
        <v>Out</v>
      </c>
      <c r="F82" s="75" t="str">
        <f>IF(Rules!$C$83="","",Rules!$G$83)</f>
        <v>Yes</v>
      </c>
      <c r="G82" s="147">
        <v>83</v>
      </c>
      <c r="H82" s="148" t="str">
        <f>IF(Rules!$C$83="","",TRIM(IF(COUNTIFS(Rules_Key,Rules!$C$83,Rules_Dir,Rules!$E$83)&gt;1,"Duplicate keyword+direction. ","")&amp;IF(LEN(Rules!$C$83)&lt;5,"Keyword under 5 characters - matches too much. ","")&amp;IF(AND(Rules!$D$83&lt;&gt;"",COUNTIF(Cat_Name,Rules!$D$83)=0),"Category is not on the Categories sheet - rows will fall to Review Required. ","")&amp;IF(Rules!$F$83="Broad","Broad scope - deliberately forces Review Required. ","")&amp;IF(Rules!$G$83&lt;&gt;"Yes","Rule is switched OFF. ","")&amp;IF(AND(Rules!$C$83&lt;&gt;"",Rules!$D$83=""),"Keyword with no category. ","")))</f>
        <v/>
      </c>
    </row>
    <row r="83" spans="2:8" x14ac:dyDescent="0.25">
      <c r="B83" s="73">
        <f>IF(Rules!$C$84="","",Rules!$B$84)</f>
        <v>150</v>
      </c>
      <c r="C83" s="143" t="str">
        <f>IF(Rules!$C$84="","",Rules!$C$84)</f>
        <v>TRINET FEE</v>
      </c>
      <c r="D83" s="143" t="str">
        <f>IF(Rules!$C$84="","",Rules!$D$84)</f>
        <v>Payroll Service Fees</v>
      </c>
      <c r="E83" s="73" t="str">
        <f>IF(Rules!$C$84="","",Rules!$E$84)</f>
        <v>Out</v>
      </c>
      <c r="F83" s="73" t="str">
        <f>IF(Rules!$C$84="","",Rules!$G$84)</f>
        <v>Yes</v>
      </c>
      <c r="G83" s="144">
        <v>84</v>
      </c>
      <c r="H83" s="145" t="str">
        <f>IF(Rules!$C$84="","",TRIM(IF(COUNTIFS(Rules_Key,Rules!$C$84,Rules_Dir,Rules!$E$84)&gt;1,"Duplicate keyword+direction. ","")&amp;IF(LEN(Rules!$C$84)&lt;5,"Keyword under 5 characters - matches too much. ","")&amp;IF(AND(Rules!$D$84&lt;&gt;"",COUNTIF(Cat_Name,Rules!$D$84)=0),"Category is not on the Categories sheet - rows will fall to Review Required. ","")&amp;IF(Rules!$F$84="Broad","Broad scope - deliberately forces Review Required. ","")&amp;IF(Rules!$G$84&lt;&gt;"Yes","Rule is switched OFF. ","")&amp;IF(AND(Rules!$C$84&lt;&gt;"",Rules!$D$84=""),"Keyword with no category. ","")))</f>
        <v/>
      </c>
    </row>
    <row r="84" spans="2:8" x14ac:dyDescent="0.25">
      <c r="B84" s="75">
        <f>IF(Rules!$C$85="","",Rules!$B$85)</f>
        <v>150</v>
      </c>
      <c r="C84" s="146" t="str">
        <f>IF(Rules!$C$85="","",Rules!$C$85)</f>
        <v>TRINET SERVICE FEE</v>
      </c>
      <c r="D84" s="146" t="str">
        <f>IF(Rules!$C$85="","",Rules!$D$85)</f>
        <v>Payroll Service Fees</v>
      </c>
      <c r="E84" s="75" t="str">
        <f>IF(Rules!$C$85="","",Rules!$E$85)</f>
        <v>Out</v>
      </c>
      <c r="F84" s="75" t="str">
        <f>IF(Rules!$C$85="","",Rules!$G$85)</f>
        <v>Yes</v>
      </c>
      <c r="G84" s="147">
        <v>85</v>
      </c>
      <c r="H84" s="148" t="str">
        <f>IF(Rules!$C$85="","",TRIM(IF(COUNTIFS(Rules_Key,Rules!$C$85,Rules_Dir,Rules!$E$85)&gt;1,"Duplicate keyword+direction. ","")&amp;IF(LEN(Rules!$C$85)&lt;5,"Keyword under 5 characters - matches too much. ","")&amp;IF(AND(Rules!$D$85&lt;&gt;"",COUNTIF(Cat_Name,Rules!$D$85)=0),"Category is not on the Categories sheet - rows will fall to Review Required. ","")&amp;IF(Rules!$F$85="Broad","Broad scope - deliberately forces Review Required. ","")&amp;IF(Rules!$G$85&lt;&gt;"Yes","Rule is switched OFF. ","")&amp;IF(AND(Rules!$C$85&lt;&gt;"",Rules!$D$85=""),"Keyword with no category. ","")))</f>
        <v/>
      </c>
    </row>
    <row r="85" spans="2:8" x14ac:dyDescent="0.25">
      <c r="B85" s="73">
        <f>IF(Rules!$C$86="","",Rules!$B$86)</f>
        <v>150</v>
      </c>
      <c r="C85" s="143" t="str">
        <f>IF(Rules!$C$86="","",Rules!$C$86)</f>
        <v>TRINET BENEFIT</v>
      </c>
      <c r="D85" s="143" t="str">
        <f>IF(Rules!$C$86="","",Rules!$D$86)</f>
        <v>Payroll Cash Movement</v>
      </c>
      <c r="E85" s="73" t="str">
        <f>IF(Rules!$C$86="","",Rules!$E$86)</f>
        <v>Out</v>
      </c>
      <c r="F85" s="73" t="str">
        <f>IF(Rules!$C$86="","",Rules!$G$86)</f>
        <v>Yes</v>
      </c>
      <c r="G85" s="144">
        <v>86</v>
      </c>
      <c r="H85" s="145" t="str">
        <f>IF(Rules!$C$86="","",TRIM(IF(COUNTIFS(Rules_Key,Rules!$C$86,Rules_Dir,Rules!$E$86)&gt;1,"Duplicate keyword+direction. ","")&amp;IF(LEN(Rules!$C$86)&lt;5,"Keyword under 5 characters - matches too much. ","")&amp;IF(AND(Rules!$D$86&lt;&gt;"",COUNTIF(Cat_Name,Rules!$D$86)=0),"Category is not on the Categories sheet - rows will fall to Review Required. ","")&amp;IF(Rules!$F$86="Broad","Broad scope - deliberately forces Review Required. ","")&amp;IF(Rules!$G$86&lt;&gt;"Yes","Rule is switched OFF. ","")&amp;IF(AND(Rules!$C$86&lt;&gt;"",Rules!$D$86=""),"Keyword with no category. ","")))</f>
        <v/>
      </c>
    </row>
    <row r="86" spans="2:8" x14ac:dyDescent="0.25">
      <c r="B86" s="75">
        <f>IF(Rules!$C$87="","",Rules!$B$87)</f>
        <v>150</v>
      </c>
      <c r="C86" s="146" t="str">
        <f>IF(Rules!$C$87="","",Rules!$C$87)</f>
        <v>PAYLOCITY PAYROLL</v>
      </c>
      <c r="D86" s="146" t="str">
        <f>IF(Rules!$C$87="","",Rules!$D$87)</f>
        <v>Payroll Cash Movement</v>
      </c>
      <c r="E86" s="75" t="str">
        <f>IF(Rules!$C$87="","",Rules!$E$87)</f>
        <v>Out</v>
      </c>
      <c r="F86" s="75" t="str">
        <f>IF(Rules!$C$87="","",Rules!$G$87)</f>
        <v>Yes</v>
      </c>
      <c r="G86" s="147">
        <v>87</v>
      </c>
      <c r="H86" s="148" t="str">
        <f>IF(Rules!$C$87="","",TRIM(IF(COUNTIFS(Rules_Key,Rules!$C$87,Rules_Dir,Rules!$E$87)&gt;1,"Duplicate keyword+direction. ","")&amp;IF(LEN(Rules!$C$87)&lt;5,"Keyword under 5 characters - matches too much. ","")&amp;IF(AND(Rules!$D$87&lt;&gt;"",COUNTIF(Cat_Name,Rules!$D$87)=0),"Category is not on the Categories sheet - rows will fall to Review Required. ","")&amp;IF(Rules!$F$87="Broad","Broad scope - deliberately forces Review Required. ","")&amp;IF(Rules!$G$87&lt;&gt;"Yes","Rule is switched OFF. ","")&amp;IF(AND(Rules!$C$87&lt;&gt;"",Rules!$D$87=""),"Keyword with no category. ","")))</f>
        <v/>
      </c>
    </row>
    <row r="87" spans="2:8" x14ac:dyDescent="0.25">
      <c r="B87" s="73">
        <f>IF(Rules!$C$88="","",Rules!$B$88)</f>
        <v>150</v>
      </c>
      <c r="C87" s="143" t="str">
        <f>IF(Rules!$C$88="","",Rules!$C$88)</f>
        <v>PAYLOCITY NET PAY</v>
      </c>
      <c r="D87" s="143" t="str">
        <f>IF(Rules!$C$88="","",Rules!$D$88)</f>
        <v>Payroll Cash Movement</v>
      </c>
      <c r="E87" s="73" t="str">
        <f>IF(Rules!$C$88="","",Rules!$E$88)</f>
        <v>Out</v>
      </c>
      <c r="F87" s="73" t="str">
        <f>IF(Rules!$C$88="","",Rules!$G$88)</f>
        <v>Yes</v>
      </c>
      <c r="G87" s="144">
        <v>88</v>
      </c>
      <c r="H87" s="145" t="str">
        <f>IF(Rules!$C$88="","",TRIM(IF(COUNTIFS(Rules_Key,Rules!$C$88,Rules_Dir,Rules!$E$88)&gt;1,"Duplicate keyword+direction. ","")&amp;IF(LEN(Rules!$C$88)&lt;5,"Keyword under 5 characters - matches too much. ","")&amp;IF(AND(Rules!$D$88&lt;&gt;"",COUNTIF(Cat_Name,Rules!$D$88)=0),"Category is not on the Categories sheet - rows will fall to Review Required. ","")&amp;IF(Rules!$F$88="Broad","Broad scope - deliberately forces Review Required. ","")&amp;IF(Rules!$G$88&lt;&gt;"Yes","Rule is switched OFF. ","")&amp;IF(AND(Rules!$C$88&lt;&gt;"",Rules!$D$88=""),"Keyword with no category. ","")))</f>
        <v/>
      </c>
    </row>
    <row r="88" spans="2:8" x14ac:dyDescent="0.25">
      <c r="B88" s="75">
        <f>IF(Rules!$C$89="","",Rules!$B$89)</f>
        <v>150</v>
      </c>
      <c r="C88" s="146" t="str">
        <f>IF(Rules!$C$89="","",Rules!$C$89)</f>
        <v>PAYLOCITY WAGE</v>
      </c>
      <c r="D88" s="146" t="str">
        <f>IF(Rules!$C$89="","",Rules!$D$89)</f>
        <v>Payroll Cash Movement</v>
      </c>
      <c r="E88" s="75" t="str">
        <f>IF(Rules!$C$89="","",Rules!$E$89)</f>
        <v>Out</v>
      </c>
      <c r="F88" s="75" t="str">
        <f>IF(Rules!$C$89="","",Rules!$G$89)</f>
        <v>Yes</v>
      </c>
      <c r="G88" s="147">
        <v>89</v>
      </c>
      <c r="H88" s="148" t="str">
        <f>IF(Rules!$C$89="","",TRIM(IF(COUNTIFS(Rules_Key,Rules!$C$89,Rules_Dir,Rules!$E$89)&gt;1,"Duplicate keyword+direction. ","")&amp;IF(LEN(Rules!$C$89)&lt;5,"Keyword under 5 characters - matches too much. ","")&amp;IF(AND(Rules!$D$89&lt;&gt;"",COUNTIF(Cat_Name,Rules!$D$89)=0),"Category is not on the Categories sheet - rows will fall to Review Required. ","")&amp;IF(Rules!$F$89="Broad","Broad scope - deliberately forces Review Required. ","")&amp;IF(Rules!$G$89&lt;&gt;"Yes","Rule is switched OFF. ","")&amp;IF(AND(Rules!$C$89&lt;&gt;"",Rules!$D$89=""),"Keyword with no category. ","")))</f>
        <v/>
      </c>
    </row>
    <row r="89" spans="2:8" x14ac:dyDescent="0.25">
      <c r="B89" s="73">
        <f>IF(Rules!$C$90="","",Rules!$B$90)</f>
        <v>150</v>
      </c>
      <c r="C89" s="143" t="str">
        <f>IF(Rules!$C$90="","",Rules!$C$90)</f>
        <v>PAYLOCITY TAX</v>
      </c>
      <c r="D89" s="143" t="str">
        <f>IF(Rules!$C$90="","",Rules!$D$90)</f>
        <v>Employer Payroll Taxes</v>
      </c>
      <c r="E89" s="73" t="str">
        <f>IF(Rules!$C$90="","",Rules!$E$90)</f>
        <v>Out</v>
      </c>
      <c r="F89" s="73" t="str">
        <f>IF(Rules!$C$90="","",Rules!$G$90)</f>
        <v>Yes</v>
      </c>
      <c r="G89" s="144">
        <v>90</v>
      </c>
      <c r="H89" s="145" t="str">
        <f>IF(Rules!$C$90="","",TRIM(IF(COUNTIFS(Rules_Key,Rules!$C$90,Rules_Dir,Rules!$E$90)&gt;1,"Duplicate keyword+direction. ","")&amp;IF(LEN(Rules!$C$90)&lt;5,"Keyword under 5 characters - matches too much. ","")&amp;IF(AND(Rules!$D$90&lt;&gt;"",COUNTIF(Cat_Name,Rules!$D$90)=0),"Category is not on the Categories sheet - rows will fall to Review Required. ","")&amp;IF(Rules!$F$90="Broad","Broad scope - deliberately forces Review Required. ","")&amp;IF(Rules!$G$90&lt;&gt;"Yes","Rule is switched OFF. ","")&amp;IF(AND(Rules!$C$90&lt;&gt;"",Rules!$D$90=""),"Keyword with no category. ","")))</f>
        <v/>
      </c>
    </row>
    <row r="90" spans="2:8" x14ac:dyDescent="0.25">
      <c r="B90" s="75">
        <f>IF(Rules!$C$91="","",Rules!$B$91)</f>
        <v>150</v>
      </c>
      <c r="C90" s="146" t="str">
        <f>IF(Rules!$C$91="","",Rules!$C$91)</f>
        <v>PAYLOCITY FEE</v>
      </c>
      <c r="D90" s="146" t="str">
        <f>IF(Rules!$C$91="","",Rules!$D$91)</f>
        <v>Payroll Service Fees</v>
      </c>
      <c r="E90" s="75" t="str">
        <f>IF(Rules!$C$91="","",Rules!$E$91)</f>
        <v>Out</v>
      </c>
      <c r="F90" s="75" t="str">
        <f>IF(Rules!$C$91="","",Rules!$G$91)</f>
        <v>Yes</v>
      </c>
      <c r="G90" s="147">
        <v>91</v>
      </c>
      <c r="H90" s="148" t="str">
        <f>IF(Rules!$C$91="","",TRIM(IF(COUNTIFS(Rules_Key,Rules!$C$91,Rules_Dir,Rules!$E$91)&gt;1,"Duplicate keyword+direction. ","")&amp;IF(LEN(Rules!$C$91)&lt;5,"Keyword under 5 characters - matches too much. ","")&amp;IF(AND(Rules!$D$91&lt;&gt;"",COUNTIF(Cat_Name,Rules!$D$91)=0),"Category is not on the Categories sheet - rows will fall to Review Required. ","")&amp;IF(Rules!$F$91="Broad","Broad scope - deliberately forces Review Required. ","")&amp;IF(Rules!$G$91&lt;&gt;"Yes","Rule is switched OFF. ","")&amp;IF(AND(Rules!$C$91&lt;&gt;"",Rules!$D$91=""),"Keyword with no category. ","")))</f>
        <v/>
      </c>
    </row>
    <row r="91" spans="2:8" x14ac:dyDescent="0.25">
      <c r="B91" s="73">
        <f>IF(Rules!$C$92="","",Rules!$B$92)</f>
        <v>150</v>
      </c>
      <c r="C91" s="143" t="str">
        <f>IF(Rules!$C$92="","",Rules!$C$92)</f>
        <v>PAYLOCITY SERVICE FEE</v>
      </c>
      <c r="D91" s="143" t="str">
        <f>IF(Rules!$C$92="","",Rules!$D$92)</f>
        <v>Payroll Service Fees</v>
      </c>
      <c r="E91" s="73" t="str">
        <f>IF(Rules!$C$92="","",Rules!$E$92)</f>
        <v>Out</v>
      </c>
      <c r="F91" s="73" t="str">
        <f>IF(Rules!$C$92="","",Rules!$G$92)</f>
        <v>Yes</v>
      </c>
      <c r="G91" s="144">
        <v>92</v>
      </c>
      <c r="H91" s="145" t="str">
        <f>IF(Rules!$C$92="","",TRIM(IF(COUNTIFS(Rules_Key,Rules!$C$92,Rules_Dir,Rules!$E$92)&gt;1,"Duplicate keyword+direction. ","")&amp;IF(LEN(Rules!$C$92)&lt;5,"Keyword under 5 characters - matches too much. ","")&amp;IF(AND(Rules!$D$92&lt;&gt;"",COUNTIF(Cat_Name,Rules!$D$92)=0),"Category is not on the Categories sheet - rows will fall to Review Required. ","")&amp;IF(Rules!$F$92="Broad","Broad scope - deliberately forces Review Required. ","")&amp;IF(Rules!$G$92&lt;&gt;"Yes","Rule is switched OFF. ","")&amp;IF(AND(Rules!$C$92&lt;&gt;"",Rules!$D$92=""),"Keyword with no category. ","")))</f>
        <v/>
      </c>
    </row>
    <row r="92" spans="2:8" x14ac:dyDescent="0.25">
      <c r="B92" s="75">
        <f>IF(Rules!$C$93="","",Rules!$B$93)</f>
        <v>150</v>
      </c>
      <c r="C92" s="146" t="str">
        <f>IF(Rules!$C$93="","",Rules!$C$93)</f>
        <v>PAYLOCITY BENEFIT</v>
      </c>
      <c r="D92" s="146" t="str">
        <f>IF(Rules!$C$93="","",Rules!$D$93)</f>
        <v>Payroll Cash Movement</v>
      </c>
      <c r="E92" s="75" t="str">
        <f>IF(Rules!$C$93="","",Rules!$E$93)</f>
        <v>Out</v>
      </c>
      <c r="F92" s="75" t="str">
        <f>IF(Rules!$C$93="","",Rules!$G$93)</f>
        <v>Yes</v>
      </c>
      <c r="G92" s="147">
        <v>93</v>
      </c>
      <c r="H92" s="148" t="str">
        <f>IF(Rules!$C$93="","",TRIM(IF(COUNTIFS(Rules_Key,Rules!$C$93,Rules_Dir,Rules!$E$93)&gt;1,"Duplicate keyword+direction. ","")&amp;IF(LEN(Rules!$C$93)&lt;5,"Keyword under 5 characters - matches too much. ","")&amp;IF(AND(Rules!$D$93&lt;&gt;"",COUNTIF(Cat_Name,Rules!$D$93)=0),"Category is not on the Categories sheet - rows will fall to Review Required. ","")&amp;IF(Rules!$F$93="Broad","Broad scope - deliberately forces Review Required. ","")&amp;IF(Rules!$G$93&lt;&gt;"Yes","Rule is switched OFF. ","")&amp;IF(AND(Rules!$C$93&lt;&gt;"",Rules!$D$93=""),"Keyword with no category. ","")))</f>
        <v/>
      </c>
    </row>
    <row r="93" spans="2:8" x14ac:dyDescent="0.25">
      <c r="B93" s="73">
        <f>IF(Rules!$C$94="","",Rules!$B$94)</f>
        <v>150</v>
      </c>
      <c r="C93" s="143" t="str">
        <f>IF(Rules!$C$94="","",Rules!$C$94)</f>
        <v>QUICKBOOKS PAYROLL</v>
      </c>
      <c r="D93" s="143" t="str">
        <f>IF(Rules!$C$94="","",Rules!$D$94)</f>
        <v>Payroll Cash Movement</v>
      </c>
      <c r="E93" s="73" t="str">
        <f>IF(Rules!$C$94="","",Rules!$E$94)</f>
        <v>Out</v>
      </c>
      <c r="F93" s="73" t="str">
        <f>IF(Rules!$C$94="","",Rules!$G$94)</f>
        <v>Yes</v>
      </c>
      <c r="G93" s="144">
        <v>94</v>
      </c>
      <c r="H93" s="145" t="str">
        <f>IF(Rules!$C$94="","",TRIM(IF(COUNTIFS(Rules_Key,Rules!$C$94,Rules_Dir,Rules!$E$94)&gt;1,"Duplicate keyword+direction. ","")&amp;IF(LEN(Rules!$C$94)&lt;5,"Keyword under 5 characters - matches too much. ","")&amp;IF(AND(Rules!$D$94&lt;&gt;"",COUNTIF(Cat_Name,Rules!$D$94)=0),"Category is not on the Categories sheet - rows will fall to Review Required. ","")&amp;IF(Rules!$F$94="Broad","Broad scope - deliberately forces Review Required. ","")&amp;IF(Rules!$G$94&lt;&gt;"Yes","Rule is switched OFF. ","")&amp;IF(AND(Rules!$C$94&lt;&gt;"",Rules!$D$94=""),"Keyword with no category. ","")))</f>
        <v/>
      </c>
    </row>
    <row r="94" spans="2:8" x14ac:dyDescent="0.25">
      <c r="B94" s="75">
        <f>IF(Rules!$C$95="","",Rules!$B$95)</f>
        <v>140</v>
      </c>
      <c r="C94" s="146" t="str">
        <f>IF(Rules!$C$95="","",Rules!$C$95)</f>
        <v>QUICKBOOKS PAYROLL TAX</v>
      </c>
      <c r="D94" s="146" t="str">
        <f>IF(Rules!$C$95="","",Rules!$D$95)</f>
        <v>Employer Payroll Taxes</v>
      </c>
      <c r="E94" s="75" t="str">
        <f>IF(Rules!$C$95="","",Rules!$E$95)</f>
        <v>Out</v>
      </c>
      <c r="F94" s="75" t="str">
        <f>IF(Rules!$C$95="","",Rules!$G$95)</f>
        <v>Yes</v>
      </c>
      <c r="G94" s="147">
        <v>95</v>
      </c>
      <c r="H94" s="148" t="str">
        <f>IF(Rules!$C$95="","",TRIM(IF(COUNTIFS(Rules_Key,Rules!$C$95,Rules_Dir,Rules!$E$95)&gt;1,"Duplicate keyword+direction. ","")&amp;IF(LEN(Rules!$C$95)&lt;5,"Keyword under 5 characters - matches too much. ","")&amp;IF(AND(Rules!$D$95&lt;&gt;"",COUNTIF(Cat_Name,Rules!$D$95)=0),"Category is not on the Categories sheet - rows will fall to Review Required. ","")&amp;IF(Rules!$F$95="Broad","Broad scope - deliberately forces Review Required. ","")&amp;IF(Rules!$G$95&lt;&gt;"Yes","Rule is switched OFF. ","")&amp;IF(AND(Rules!$C$95&lt;&gt;"",Rules!$D$95=""),"Keyword with no category. ","")))</f>
        <v/>
      </c>
    </row>
    <row r="95" spans="2:8" x14ac:dyDescent="0.25">
      <c r="B95" s="73">
        <f>IF(Rules!$C$96="","",Rules!$B$96)</f>
        <v>200</v>
      </c>
      <c r="C95" s="143" t="str">
        <f>IF(Rules!$C$96="","",Rules!$C$96)</f>
        <v>DIRECT DEP</v>
      </c>
      <c r="D95" s="143" t="str">
        <f>IF(Rules!$C$96="","",Rules!$D$96)</f>
        <v>Payroll Cash Movement</v>
      </c>
      <c r="E95" s="73" t="str">
        <f>IF(Rules!$C$96="","",Rules!$E$96)</f>
        <v>Out</v>
      </c>
      <c r="F95" s="73" t="str">
        <f>IF(Rules!$C$96="","",Rules!$G$96)</f>
        <v>Yes</v>
      </c>
      <c r="G95" s="144">
        <v>96</v>
      </c>
      <c r="H95" s="145" t="str">
        <f>IF(Rules!$C$96="","",TRIM(IF(COUNTIFS(Rules_Key,Rules!$C$96,Rules_Dir,Rules!$E$96)&gt;1,"Duplicate keyword+direction. ","")&amp;IF(LEN(Rules!$C$96)&lt;5,"Keyword under 5 characters - matches too much. ","")&amp;IF(AND(Rules!$D$96&lt;&gt;"",COUNTIF(Cat_Name,Rules!$D$96)=0),"Category is not on the Categories sheet - rows will fall to Review Required. ","")&amp;IF(Rules!$F$96="Broad","Broad scope - deliberately forces Review Required. ","")&amp;IF(Rules!$G$96&lt;&gt;"Yes","Rule is switched OFF. ","")&amp;IF(AND(Rules!$C$96&lt;&gt;"",Rules!$D$96=""),"Keyword with no category. ","")))</f>
        <v/>
      </c>
    </row>
    <row r="96" spans="2:8" x14ac:dyDescent="0.25">
      <c r="B96" s="75">
        <f>IF(Rules!$C$97="","",Rules!$B$97)</f>
        <v>200</v>
      </c>
      <c r="C96" s="146" t="str">
        <f>IF(Rules!$C$97="","",Rules!$C$97)</f>
        <v>EFTPS</v>
      </c>
      <c r="D96" s="146" t="str">
        <f>IF(Rules!$C$97="","",Rules!$D$97)</f>
        <v>Payroll Cash Movement</v>
      </c>
      <c r="E96" s="75" t="str">
        <f>IF(Rules!$C$97="","",Rules!$E$97)</f>
        <v>Out</v>
      </c>
      <c r="F96" s="75" t="str">
        <f>IF(Rules!$C$97="","",Rules!$G$97)</f>
        <v>Yes</v>
      </c>
      <c r="G96" s="147">
        <v>97</v>
      </c>
      <c r="H96" s="148" t="str">
        <f>IF(Rules!$C$97="","",TRIM(IF(COUNTIFS(Rules_Key,Rules!$C$97,Rules_Dir,Rules!$E$97)&gt;1,"Duplicate keyword+direction. ","")&amp;IF(LEN(Rules!$C$97)&lt;5,"Keyword under 5 characters - matches too much. ","")&amp;IF(AND(Rules!$D$97&lt;&gt;"",COUNTIF(Cat_Name,Rules!$D$97)=0),"Category is not on the Categories sheet - rows will fall to Review Required. ","")&amp;IF(Rules!$F$97="Broad","Broad scope - deliberately forces Review Required. ","")&amp;IF(Rules!$G$97&lt;&gt;"Yes","Rule is switched OFF. ","")&amp;IF(AND(Rules!$C$97&lt;&gt;"",Rules!$D$97=""),"Keyword with no category. ","")))</f>
        <v/>
      </c>
    </row>
    <row r="97" spans="2:8" x14ac:dyDescent="0.25">
      <c r="B97" s="73">
        <f>IF(Rules!$C$98="","",Rules!$B$98)</f>
        <v>200</v>
      </c>
      <c r="C97" s="143" t="str">
        <f>IF(Rules!$C$98="","",Rules!$C$98)</f>
        <v>WORKFORCE COMMISSION</v>
      </c>
      <c r="D97" s="143" t="str">
        <f>IF(Rules!$C$98="","",Rules!$D$98)</f>
        <v>Employer Payroll Taxes</v>
      </c>
      <c r="E97" s="73" t="str">
        <f>IF(Rules!$C$98="","",Rules!$E$98)</f>
        <v>Out</v>
      </c>
      <c r="F97" s="73" t="str">
        <f>IF(Rules!$C$98="","",Rules!$G$98)</f>
        <v>Yes</v>
      </c>
      <c r="G97" s="144">
        <v>98</v>
      </c>
      <c r="H97" s="145" t="str">
        <f>IF(Rules!$C$98="","",TRIM(IF(COUNTIFS(Rules_Key,Rules!$C$98,Rules_Dir,Rules!$E$98)&gt;1,"Duplicate keyword+direction. ","")&amp;IF(LEN(Rules!$C$98)&lt;5,"Keyword under 5 characters - matches too much. ","")&amp;IF(AND(Rules!$D$98&lt;&gt;"",COUNTIF(Cat_Name,Rules!$D$98)=0),"Category is not on the Categories sheet - rows will fall to Review Required. ","")&amp;IF(Rules!$F$98="Broad","Broad scope - deliberately forces Review Required. ","")&amp;IF(Rules!$G$98&lt;&gt;"Yes","Rule is switched OFF. ","")&amp;IF(AND(Rules!$C$98&lt;&gt;"",Rules!$D$98=""),"Keyword with no category. ","")))</f>
        <v/>
      </c>
    </row>
    <row r="98" spans="2:8" x14ac:dyDescent="0.25">
      <c r="B98" s="75">
        <f>IF(Rules!$C$99="","",Rules!$B$99)</f>
        <v>200</v>
      </c>
      <c r="C98" s="146" t="str">
        <f>IF(Rules!$C$99="","",Rules!$C$99)</f>
        <v>UNEMPLOYMENT TAX</v>
      </c>
      <c r="D98" s="146" t="str">
        <f>IF(Rules!$C$99="","",Rules!$D$99)</f>
        <v>Employer Payroll Taxes</v>
      </c>
      <c r="E98" s="75" t="str">
        <f>IF(Rules!$C$99="","",Rules!$E$99)</f>
        <v>Out</v>
      </c>
      <c r="F98" s="75" t="str">
        <f>IF(Rules!$C$99="","",Rules!$G$99)</f>
        <v>Yes</v>
      </c>
      <c r="G98" s="147">
        <v>99</v>
      </c>
      <c r="H98" s="148" t="str">
        <f>IF(Rules!$C$99="","",TRIM(IF(COUNTIFS(Rules_Key,Rules!$C$99,Rules_Dir,Rules!$E$99)&gt;1,"Duplicate keyword+direction. ","")&amp;IF(LEN(Rules!$C$99)&lt;5,"Keyword under 5 characters - matches too much. ","")&amp;IF(AND(Rules!$D$99&lt;&gt;"",COUNTIF(Cat_Name,Rules!$D$99)=0),"Category is not on the Categories sheet - rows will fall to Review Required. ","")&amp;IF(Rules!$F$99="Broad","Broad scope - deliberately forces Review Required. ","")&amp;IF(Rules!$G$99&lt;&gt;"Yes","Rule is switched OFF. ","")&amp;IF(AND(Rules!$C$99&lt;&gt;"",Rules!$D$99=""),"Keyword with no category. ","")))</f>
        <v/>
      </c>
    </row>
    <row r="99" spans="2:8" x14ac:dyDescent="0.25">
      <c r="B99" s="73">
        <f>IF(Rules!$C$100="","",Rules!$B$100)</f>
        <v>200</v>
      </c>
      <c r="C99" s="143" t="str">
        <f>IF(Rules!$C$100="","",Rules!$C$100)</f>
        <v>STATE UI TAX</v>
      </c>
      <c r="D99" s="143" t="str">
        <f>IF(Rules!$C$100="","",Rules!$D$100)</f>
        <v>Employer Payroll Taxes</v>
      </c>
      <c r="E99" s="73" t="str">
        <f>IF(Rules!$C$100="","",Rules!$E$100)</f>
        <v>Out</v>
      </c>
      <c r="F99" s="73" t="str">
        <f>IF(Rules!$C$100="","",Rules!$G$100)</f>
        <v>Yes</v>
      </c>
      <c r="G99" s="144">
        <v>100</v>
      </c>
      <c r="H99" s="145" t="str">
        <f>IF(Rules!$C$100="","",TRIM(IF(COUNTIFS(Rules_Key,Rules!$C$100,Rules_Dir,Rules!$E$100)&gt;1,"Duplicate keyword+direction. ","")&amp;IF(LEN(Rules!$C$100)&lt;5,"Keyword under 5 characters - matches too much. ","")&amp;IF(AND(Rules!$D$100&lt;&gt;"",COUNTIF(Cat_Name,Rules!$D$100)=0),"Category is not on the Categories sheet - rows will fall to Review Required. ","")&amp;IF(Rules!$F$100="Broad","Broad scope - deliberately forces Review Required. ","")&amp;IF(Rules!$G$100&lt;&gt;"Yes","Rule is switched OFF. ","")&amp;IF(AND(Rules!$C$100&lt;&gt;"",Rules!$D$100=""),"Keyword with no category. ","")))</f>
        <v/>
      </c>
    </row>
    <row r="100" spans="2:8" x14ac:dyDescent="0.25">
      <c r="B100" s="75">
        <f>IF(Rules!$C$101="","",Rules!$B$101)</f>
        <v>300</v>
      </c>
      <c r="C100" s="146" t="str">
        <f>IF(Rules!$C$101="","",Rules!$C$101)</f>
        <v>PAYROLL</v>
      </c>
      <c r="D100" s="146" t="str">
        <f>IF(Rules!$C$101="","",Rules!$D$101)</f>
        <v>Payroll Cash Movement</v>
      </c>
      <c r="E100" s="75" t="str">
        <f>IF(Rules!$C$101="","",Rules!$E$101)</f>
        <v>Out</v>
      </c>
      <c r="F100" s="75" t="str">
        <f>IF(Rules!$C$101="","",Rules!$G$101)</f>
        <v>Yes</v>
      </c>
      <c r="G100" s="147">
        <v>101</v>
      </c>
      <c r="H100" s="148" t="str">
        <f>IF(Rules!$C$101="","",TRIM(IF(COUNTIFS(Rules_Key,Rules!$C$101,Rules_Dir,Rules!$E$101)&gt;1,"Duplicate keyword+direction. ","")&amp;IF(LEN(Rules!$C$101)&lt;5,"Keyword under 5 characters - matches too much. ","")&amp;IF(AND(Rules!$D$101&lt;&gt;"",COUNTIF(Cat_Name,Rules!$D$101)=0),"Category is not on the Categories sheet - rows will fall to Review Required. ","")&amp;IF(Rules!$F$101="Broad","Broad scope - deliberately forces Review Required. ","")&amp;IF(Rules!$G$101&lt;&gt;"Yes","Rule is switched OFF. ","")&amp;IF(AND(Rules!$C$101&lt;&gt;"",Rules!$D$101=""),"Keyword with no category. ","")))</f>
        <v/>
      </c>
    </row>
    <row r="101" spans="2:8" x14ac:dyDescent="0.25">
      <c r="B101" s="73">
        <f>IF(Rules!$C$102="","",Rules!$B$102)</f>
        <v>200</v>
      </c>
      <c r="C101" s="143" t="str">
        <f>IF(Rules!$C$102="","",Rules!$C$102)</f>
        <v>HENRY SCHEIN</v>
      </c>
      <c r="D101" s="143" t="str">
        <f>IF(Rules!$C$102="","",Rules!$D$102)</f>
        <v>Medical &amp; Clinical Supplies</v>
      </c>
      <c r="E101" s="73" t="str">
        <f>IF(Rules!$C$102="","",Rules!$E$102)</f>
        <v>Out</v>
      </c>
      <c r="F101" s="73" t="str">
        <f>IF(Rules!$C$102="","",Rules!$G$102)</f>
        <v>Yes</v>
      </c>
      <c r="G101" s="144">
        <v>102</v>
      </c>
      <c r="H101" s="145" t="str">
        <f>IF(Rules!$C$102="","",TRIM(IF(COUNTIFS(Rules_Key,Rules!$C$102,Rules_Dir,Rules!$E$102)&gt;1,"Duplicate keyword+direction. ","")&amp;IF(LEN(Rules!$C$102)&lt;5,"Keyword under 5 characters - matches too much. ","")&amp;IF(AND(Rules!$D$102&lt;&gt;"",COUNTIF(Cat_Name,Rules!$D$102)=0),"Category is not on the Categories sheet - rows will fall to Review Required. ","")&amp;IF(Rules!$F$102="Broad","Broad scope - deliberately forces Review Required. ","")&amp;IF(Rules!$G$102&lt;&gt;"Yes","Rule is switched OFF. ","")&amp;IF(AND(Rules!$C$102&lt;&gt;"",Rules!$D$102=""),"Keyword with no category. ","")))</f>
        <v/>
      </c>
    </row>
    <row r="102" spans="2:8" x14ac:dyDescent="0.25">
      <c r="B102" s="75">
        <f>IF(Rules!$C$103="","",Rules!$B$103)</f>
        <v>200</v>
      </c>
      <c r="C102" s="146" t="str">
        <f>IF(Rules!$C$103="","",Rules!$C$103)</f>
        <v>PATTERSON DENTAL</v>
      </c>
      <c r="D102" s="146" t="str">
        <f>IF(Rules!$C$103="","",Rules!$D$103)</f>
        <v>Dental Supplies &amp; Lab Fees</v>
      </c>
      <c r="E102" s="75" t="str">
        <f>IF(Rules!$C$103="","",Rules!$E$103)</f>
        <v>Out</v>
      </c>
      <c r="F102" s="75" t="str">
        <f>IF(Rules!$C$103="","",Rules!$G$103)</f>
        <v>Yes</v>
      </c>
      <c r="G102" s="147">
        <v>103</v>
      </c>
      <c r="H102" s="148" t="str">
        <f>IF(Rules!$C$103="","",TRIM(IF(COUNTIFS(Rules_Key,Rules!$C$103,Rules_Dir,Rules!$E$103)&gt;1,"Duplicate keyword+direction. ","")&amp;IF(LEN(Rules!$C$103)&lt;5,"Keyword under 5 characters - matches too much. ","")&amp;IF(AND(Rules!$D$103&lt;&gt;"",COUNTIF(Cat_Name,Rules!$D$103)=0),"Category is not on the Categories sheet - rows will fall to Review Required. ","")&amp;IF(Rules!$F$103="Broad","Broad scope - deliberately forces Review Required. ","")&amp;IF(Rules!$G$103&lt;&gt;"Yes","Rule is switched OFF. ","")&amp;IF(AND(Rules!$C$103&lt;&gt;"",Rules!$D$103=""),"Keyword with no category. ","")))</f>
        <v/>
      </c>
    </row>
    <row r="103" spans="2:8" x14ac:dyDescent="0.25">
      <c r="B103" s="73">
        <f>IF(Rules!$C$104="","",Rules!$B$104)</f>
        <v>200</v>
      </c>
      <c r="C103" s="143" t="str">
        <f>IF(Rules!$C$104="","",Rules!$C$104)</f>
        <v>BENCO</v>
      </c>
      <c r="D103" s="143" t="str">
        <f>IF(Rules!$C$104="","",Rules!$D$104)</f>
        <v>Dental Supplies &amp; Lab Fees</v>
      </c>
      <c r="E103" s="73" t="str">
        <f>IF(Rules!$C$104="","",Rules!$E$104)</f>
        <v>Out</v>
      </c>
      <c r="F103" s="73" t="str">
        <f>IF(Rules!$C$104="","",Rules!$G$104)</f>
        <v>Yes</v>
      </c>
      <c r="G103" s="144">
        <v>104</v>
      </c>
      <c r="H103" s="145" t="str">
        <f>IF(Rules!$C$104="","",TRIM(IF(COUNTIFS(Rules_Key,Rules!$C$104,Rules_Dir,Rules!$E$104)&gt;1,"Duplicate keyword+direction. ","")&amp;IF(LEN(Rules!$C$104)&lt;5,"Keyword under 5 characters - matches too much. ","")&amp;IF(AND(Rules!$D$104&lt;&gt;"",COUNTIF(Cat_Name,Rules!$D$104)=0),"Category is not on the Categories sheet - rows will fall to Review Required. ","")&amp;IF(Rules!$F$104="Broad","Broad scope - deliberately forces Review Required. ","")&amp;IF(Rules!$G$104&lt;&gt;"Yes","Rule is switched OFF. ","")&amp;IF(AND(Rules!$C$104&lt;&gt;"",Rules!$D$104=""),"Keyword with no category. ","")))</f>
        <v/>
      </c>
    </row>
    <row r="104" spans="2:8" x14ac:dyDescent="0.25">
      <c r="B104" s="75">
        <f>IF(Rules!$C$105="","",Rules!$B$105)</f>
        <v>200</v>
      </c>
      <c r="C104" s="146" t="str">
        <f>IF(Rules!$C$105="","",Rules!$C$105)</f>
        <v>GLIDEWELL</v>
      </c>
      <c r="D104" s="146" t="str">
        <f>IF(Rules!$C$105="","",Rules!$D$105)</f>
        <v>Dental Supplies &amp; Lab Fees</v>
      </c>
      <c r="E104" s="75" t="str">
        <f>IF(Rules!$C$105="","",Rules!$E$105)</f>
        <v>Out</v>
      </c>
      <c r="F104" s="75" t="str">
        <f>IF(Rules!$C$105="","",Rules!$G$105)</f>
        <v>Yes</v>
      </c>
      <c r="G104" s="147">
        <v>105</v>
      </c>
      <c r="H104" s="148" t="str">
        <f>IF(Rules!$C$105="","",TRIM(IF(COUNTIFS(Rules_Key,Rules!$C$105,Rules_Dir,Rules!$E$105)&gt;1,"Duplicate keyword+direction. ","")&amp;IF(LEN(Rules!$C$105)&lt;5,"Keyword under 5 characters - matches too much. ","")&amp;IF(AND(Rules!$D$105&lt;&gt;"",COUNTIF(Cat_Name,Rules!$D$105)=0),"Category is not on the Categories sheet - rows will fall to Review Required. ","")&amp;IF(Rules!$F$105="Broad","Broad scope - deliberately forces Review Required. ","")&amp;IF(Rules!$G$105&lt;&gt;"Yes","Rule is switched OFF. ","")&amp;IF(AND(Rules!$C$105&lt;&gt;"",Rules!$D$105=""),"Keyword with no category. ","")))</f>
        <v/>
      </c>
    </row>
    <row r="105" spans="2:8" x14ac:dyDescent="0.25">
      <c r="B105" s="73">
        <f>IF(Rules!$C$106="","",Rules!$B$106)</f>
        <v>200</v>
      </c>
      <c r="C105" s="143" t="str">
        <f>IF(Rules!$C$106="","",Rules!$C$106)</f>
        <v>MCKESSON</v>
      </c>
      <c r="D105" s="143" t="str">
        <f>IF(Rules!$C$106="","",Rules!$D$106)</f>
        <v>Medical &amp; Clinical Supplies</v>
      </c>
      <c r="E105" s="73" t="str">
        <f>IF(Rules!$C$106="","",Rules!$E$106)</f>
        <v>Out</v>
      </c>
      <c r="F105" s="73" t="str">
        <f>IF(Rules!$C$106="","",Rules!$G$106)</f>
        <v>Yes</v>
      </c>
      <c r="G105" s="144">
        <v>106</v>
      </c>
      <c r="H105" s="145" t="str">
        <f>IF(Rules!$C$106="","",TRIM(IF(COUNTIFS(Rules_Key,Rules!$C$106,Rules_Dir,Rules!$E$106)&gt;1,"Duplicate keyword+direction. ","")&amp;IF(LEN(Rules!$C$106)&lt;5,"Keyword under 5 characters - matches too much. ","")&amp;IF(AND(Rules!$D$106&lt;&gt;"",COUNTIF(Cat_Name,Rules!$D$106)=0),"Category is not on the Categories sheet - rows will fall to Review Required. ","")&amp;IF(Rules!$F$106="Broad","Broad scope - deliberately forces Review Required. ","")&amp;IF(Rules!$G$106&lt;&gt;"Yes","Rule is switched OFF. ","")&amp;IF(AND(Rules!$C$106&lt;&gt;"",Rules!$D$106=""),"Keyword with no category. ","")))</f>
        <v/>
      </c>
    </row>
    <row r="106" spans="2:8" x14ac:dyDescent="0.25">
      <c r="B106" s="75">
        <f>IF(Rules!$C$107="","",Rules!$B$107)</f>
        <v>200</v>
      </c>
      <c r="C106" s="146" t="str">
        <f>IF(Rules!$C$107="","",Rules!$C$107)</f>
        <v>MEDLINE</v>
      </c>
      <c r="D106" s="146" t="str">
        <f>IF(Rules!$C$107="","",Rules!$D$107)</f>
        <v>Medical &amp; Clinical Supplies</v>
      </c>
      <c r="E106" s="75" t="str">
        <f>IF(Rules!$C$107="","",Rules!$E$107)</f>
        <v>Out</v>
      </c>
      <c r="F106" s="75" t="str">
        <f>IF(Rules!$C$107="","",Rules!$G$107)</f>
        <v>Yes</v>
      </c>
      <c r="G106" s="147">
        <v>107</v>
      </c>
      <c r="H106" s="148" t="str">
        <f>IF(Rules!$C$107="","",TRIM(IF(COUNTIFS(Rules_Key,Rules!$C$107,Rules_Dir,Rules!$E$107)&gt;1,"Duplicate keyword+direction. ","")&amp;IF(LEN(Rules!$C$107)&lt;5,"Keyword under 5 characters - matches too much. ","")&amp;IF(AND(Rules!$D$107&lt;&gt;"",COUNTIF(Cat_Name,Rules!$D$107)=0),"Category is not on the Categories sheet - rows will fall to Review Required. ","")&amp;IF(Rules!$F$107="Broad","Broad scope - deliberately forces Review Required. ","")&amp;IF(Rules!$G$107&lt;&gt;"Yes","Rule is switched OFF. ","")&amp;IF(AND(Rules!$C$107&lt;&gt;"",Rules!$D$107=""),"Keyword with no category. ","")))</f>
        <v/>
      </c>
    </row>
    <row r="107" spans="2:8" x14ac:dyDescent="0.25">
      <c r="B107" s="73">
        <f>IF(Rules!$C$108="","",Rules!$B$108)</f>
        <v>200</v>
      </c>
      <c r="C107" s="143" t="str">
        <f>IF(Rules!$C$108="","",Rules!$C$108)</f>
        <v>CARDINAL HEALTH</v>
      </c>
      <c r="D107" s="143" t="str">
        <f>IF(Rules!$C$108="","",Rules!$D$108)</f>
        <v>Medical &amp; Clinical Supplies</v>
      </c>
      <c r="E107" s="73" t="str">
        <f>IF(Rules!$C$108="","",Rules!$E$108)</f>
        <v>Out</v>
      </c>
      <c r="F107" s="73" t="str">
        <f>IF(Rules!$C$108="","",Rules!$G$108)</f>
        <v>Yes</v>
      </c>
      <c r="G107" s="144">
        <v>108</v>
      </c>
      <c r="H107" s="145" t="str">
        <f>IF(Rules!$C$108="","",TRIM(IF(COUNTIFS(Rules_Key,Rules!$C$108,Rules_Dir,Rules!$E$108)&gt;1,"Duplicate keyword+direction. ","")&amp;IF(LEN(Rules!$C$108)&lt;5,"Keyword under 5 characters - matches too much. ","")&amp;IF(AND(Rules!$D$108&lt;&gt;"",COUNTIF(Cat_Name,Rules!$D$108)=0),"Category is not on the Categories sheet - rows will fall to Review Required. ","")&amp;IF(Rules!$F$108="Broad","Broad scope - deliberately forces Review Required. ","")&amp;IF(Rules!$G$108&lt;&gt;"Yes","Rule is switched OFF. ","")&amp;IF(AND(Rules!$C$108&lt;&gt;"",Rules!$D$108=""),"Keyword with no category. ","")))</f>
        <v/>
      </c>
    </row>
    <row r="108" spans="2:8" x14ac:dyDescent="0.25">
      <c r="B108" s="75">
        <f>IF(Rules!$C$109="","",Rules!$B$109)</f>
        <v>200</v>
      </c>
      <c r="C108" s="146" t="str">
        <f>IF(Rules!$C$109="","",Rules!$C$109)</f>
        <v>BOUND TREE</v>
      </c>
      <c r="D108" s="146" t="str">
        <f>IF(Rules!$C$109="","",Rules!$D$109)</f>
        <v>Medical &amp; Clinical Supplies</v>
      </c>
      <c r="E108" s="75" t="str">
        <f>IF(Rules!$C$109="","",Rules!$E$109)</f>
        <v>Out</v>
      </c>
      <c r="F108" s="75" t="str">
        <f>IF(Rules!$C$109="","",Rules!$G$109)</f>
        <v>Yes</v>
      </c>
      <c r="G108" s="147">
        <v>109</v>
      </c>
      <c r="H108" s="148" t="str">
        <f>IF(Rules!$C$109="","",TRIM(IF(COUNTIFS(Rules_Key,Rules!$C$109,Rules_Dir,Rules!$E$109)&gt;1,"Duplicate keyword+direction. ","")&amp;IF(LEN(Rules!$C$109)&lt;5,"Keyword under 5 characters - matches too much. ","")&amp;IF(AND(Rules!$D$109&lt;&gt;"",COUNTIF(Cat_Name,Rules!$D$109)=0),"Category is not on the Categories sheet - rows will fall to Review Required. ","")&amp;IF(Rules!$F$109="Broad","Broad scope - deliberately forces Review Required. ","")&amp;IF(Rules!$G$109&lt;&gt;"Yes","Rule is switched OFF. ","")&amp;IF(AND(Rules!$C$109&lt;&gt;"",Rules!$D$109=""),"Keyword with no category. ","")))</f>
        <v/>
      </c>
    </row>
    <row r="109" spans="2:8" x14ac:dyDescent="0.25">
      <c r="B109" s="73">
        <f>IF(Rules!$C$110="","",Rules!$B$110)</f>
        <v>200</v>
      </c>
      <c r="C109" s="143" t="str">
        <f>IF(Rules!$C$110="","",Rules!$C$110)</f>
        <v>ESSILOR</v>
      </c>
      <c r="D109" s="143" t="str">
        <f>IF(Rules!$C$110="","",Rules!$D$110)</f>
        <v>Optical Frames, Lenses &amp; Lab</v>
      </c>
      <c r="E109" s="73" t="str">
        <f>IF(Rules!$C$110="","",Rules!$E$110)</f>
        <v>Out</v>
      </c>
      <c r="F109" s="73" t="str">
        <f>IF(Rules!$C$110="","",Rules!$G$110)</f>
        <v>Yes</v>
      </c>
      <c r="G109" s="144">
        <v>110</v>
      </c>
      <c r="H109" s="145" t="str">
        <f>IF(Rules!$C$110="","",TRIM(IF(COUNTIFS(Rules_Key,Rules!$C$110,Rules_Dir,Rules!$E$110)&gt;1,"Duplicate keyword+direction. ","")&amp;IF(LEN(Rules!$C$110)&lt;5,"Keyword under 5 characters - matches too much. ","")&amp;IF(AND(Rules!$D$110&lt;&gt;"",COUNTIF(Cat_Name,Rules!$D$110)=0),"Category is not on the Categories sheet - rows will fall to Review Required. ","")&amp;IF(Rules!$F$110="Broad","Broad scope - deliberately forces Review Required. ","")&amp;IF(Rules!$G$110&lt;&gt;"Yes","Rule is switched OFF. ","")&amp;IF(AND(Rules!$C$110&lt;&gt;"",Rules!$D$110=""),"Keyword with no category. ","")))</f>
        <v/>
      </c>
    </row>
    <row r="110" spans="2:8" x14ac:dyDescent="0.25">
      <c r="B110" s="75">
        <f>IF(Rules!$C$111="","",Rules!$B$111)</f>
        <v>200</v>
      </c>
      <c r="C110" s="146" t="str">
        <f>IF(Rules!$C$111="","",Rules!$C$111)</f>
        <v>LUXOTTICA</v>
      </c>
      <c r="D110" s="146" t="str">
        <f>IF(Rules!$C$111="","",Rules!$D$111)</f>
        <v>Optical Frames, Lenses &amp; Lab</v>
      </c>
      <c r="E110" s="75" t="str">
        <f>IF(Rules!$C$111="","",Rules!$E$111)</f>
        <v>Out</v>
      </c>
      <c r="F110" s="75" t="str">
        <f>IF(Rules!$C$111="","",Rules!$G$111)</f>
        <v>Yes</v>
      </c>
      <c r="G110" s="147">
        <v>111</v>
      </c>
      <c r="H110" s="148" t="str">
        <f>IF(Rules!$C$111="","",TRIM(IF(COUNTIFS(Rules_Key,Rules!$C$111,Rules_Dir,Rules!$E$111)&gt;1,"Duplicate keyword+direction. ","")&amp;IF(LEN(Rules!$C$111)&lt;5,"Keyword under 5 characters - matches too much. ","")&amp;IF(AND(Rules!$D$111&lt;&gt;"",COUNTIF(Cat_Name,Rules!$D$111)=0),"Category is not on the Categories sheet - rows will fall to Review Required. ","")&amp;IF(Rules!$F$111="Broad","Broad scope - deliberately forces Review Required. ","")&amp;IF(Rules!$G$111&lt;&gt;"Yes","Rule is switched OFF. ","")&amp;IF(AND(Rules!$C$111&lt;&gt;"",Rules!$D$111=""),"Keyword with no category. ","")))</f>
        <v/>
      </c>
    </row>
    <row r="111" spans="2:8" x14ac:dyDescent="0.25">
      <c r="B111" s="73">
        <f>IF(Rules!$C$112="","",Rules!$B$112)</f>
        <v>200</v>
      </c>
      <c r="C111" s="143" t="str">
        <f>IF(Rules!$C$112="","",Rules!$C$112)</f>
        <v>QUEST DIAG</v>
      </c>
      <c r="D111" s="143" t="str">
        <f>IF(Rules!$C$112="","",Rules!$D$112)</f>
        <v>Laboratory &amp; Imaging Fees (Outside)</v>
      </c>
      <c r="E111" s="73" t="str">
        <f>IF(Rules!$C$112="","",Rules!$E$112)</f>
        <v>Out</v>
      </c>
      <c r="F111" s="73" t="str">
        <f>IF(Rules!$C$112="","",Rules!$G$112)</f>
        <v>Yes</v>
      </c>
      <c r="G111" s="144">
        <v>112</v>
      </c>
      <c r="H111" s="145" t="str">
        <f>IF(Rules!$C$112="","",TRIM(IF(COUNTIFS(Rules_Key,Rules!$C$112,Rules_Dir,Rules!$E$112)&gt;1,"Duplicate keyword+direction. ","")&amp;IF(LEN(Rules!$C$112)&lt;5,"Keyword under 5 characters - matches too much. ","")&amp;IF(AND(Rules!$D$112&lt;&gt;"",COUNTIF(Cat_Name,Rules!$D$112)=0),"Category is not on the Categories sheet - rows will fall to Review Required. ","")&amp;IF(Rules!$F$112="Broad","Broad scope - deliberately forces Review Required. ","")&amp;IF(Rules!$G$112&lt;&gt;"Yes","Rule is switched OFF. ","")&amp;IF(AND(Rules!$C$112&lt;&gt;"",Rules!$D$112=""),"Keyword with no category. ","")))</f>
        <v/>
      </c>
    </row>
    <row r="112" spans="2:8" x14ac:dyDescent="0.25">
      <c r="B112" s="75">
        <f>IF(Rules!$C$113="","",Rules!$B$113)</f>
        <v>200</v>
      </c>
      <c r="C112" s="146" t="str">
        <f>IF(Rules!$C$113="","",Rules!$C$113)</f>
        <v>LABCORP</v>
      </c>
      <c r="D112" s="146" t="str">
        <f>IF(Rules!$C$113="","",Rules!$D$113)</f>
        <v>Laboratory &amp; Imaging Fees (Outside)</v>
      </c>
      <c r="E112" s="75" t="str">
        <f>IF(Rules!$C$113="","",Rules!$E$113)</f>
        <v>Out</v>
      </c>
      <c r="F112" s="75" t="str">
        <f>IF(Rules!$C$113="","",Rules!$G$113)</f>
        <v>Yes</v>
      </c>
      <c r="G112" s="147">
        <v>113</v>
      </c>
      <c r="H112" s="148" t="str">
        <f>IF(Rules!$C$113="","",TRIM(IF(COUNTIFS(Rules_Key,Rules!$C$113,Rules_Dir,Rules!$E$113)&gt;1,"Duplicate keyword+direction. ","")&amp;IF(LEN(Rules!$C$113)&lt;5,"Keyword under 5 characters - matches too much. ","")&amp;IF(AND(Rules!$D$113&lt;&gt;"",COUNTIF(Cat_Name,Rules!$D$113)=0),"Category is not on the Categories sheet - rows will fall to Review Required. ","")&amp;IF(Rules!$F$113="Broad","Broad scope - deliberately forces Review Required. ","")&amp;IF(Rules!$G$113&lt;&gt;"Yes","Rule is switched OFF. ","")&amp;IF(AND(Rules!$C$113&lt;&gt;"",Rules!$D$113=""),"Keyword with no category. ","")))</f>
        <v/>
      </c>
    </row>
    <row r="113" spans="2:8" x14ac:dyDescent="0.25">
      <c r="B113" s="73">
        <f>IF(Rules!$C$114="","",Rules!$B$114)</f>
        <v>200</v>
      </c>
      <c r="C113" s="143" t="str">
        <f>IF(Rules!$C$114="","",Rules!$C$114)</f>
        <v>STERICYCLE</v>
      </c>
      <c r="D113" s="143" t="str">
        <f>IF(Rules!$C$114="","",Rules!$D$114)</f>
        <v>Medical Waste &amp; Sharps Disposal</v>
      </c>
      <c r="E113" s="73" t="str">
        <f>IF(Rules!$C$114="","",Rules!$E$114)</f>
        <v>Out</v>
      </c>
      <c r="F113" s="73" t="str">
        <f>IF(Rules!$C$114="","",Rules!$G$114)</f>
        <v>Yes</v>
      </c>
      <c r="G113" s="144">
        <v>114</v>
      </c>
      <c r="H113" s="145" t="str">
        <f>IF(Rules!$C$114="","",TRIM(IF(COUNTIFS(Rules_Key,Rules!$C$114,Rules_Dir,Rules!$E$114)&gt;1,"Duplicate keyword+direction. ","")&amp;IF(LEN(Rules!$C$114)&lt;5,"Keyword under 5 characters - matches too much. ","")&amp;IF(AND(Rules!$D$114&lt;&gt;"",COUNTIF(Cat_Name,Rules!$D$114)=0),"Category is not on the Categories sheet - rows will fall to Review Required. ","")&amp;IF(Rules!$F$114="Broad","Broad scope - deliberately forces Review Required. ","")&amp;IF(Rules!$G$114&lt;&gt;"Yes","Rule is switched OFF. ","")&amp;IF(AND(Rules!$C$114&lt;&gt;"",Rules!$D$114=""),"Keyword with no category. ","")))</f>
        <v/>
      </c>
    </row>
    <row r="114" spans="2:8" x14ac:dyDescent="0.25">
      <c r="B114" s="75">
        <f>IF(Rules!$C$115="","",Rules!$B$115)</f>
        <v>200</v>
      </c>
      <c r="C114" s="146" t="str">
        <f>IF(Rules!$C$115="","",Rules!$C$115)</f>
        <v>SHARPS COMPL</v>
      </c>
      <c r="D114" s="146" t="str">
        <f>IF(Rules!$C$115="","",Rules!$D$115)</f>
        <v>Medical Waste &amp; Sharps Disposal</v>
      </c>
      <c r="E114" s="75" t="str">
        <f>IF(Rules!$C$115="","",Rules!$E$115)</f>
        <v>Out</v>
      </c>
      <c r="F114" s="75" t="str">
        <f>IF(Rules!$C$115="","",Rules!$G$115)</f>
        <v>Yes</v>
      </c>
      <c r="G114" s="147">
        <v>115</v>
      </c>
      <c r="H114" s="148" t="str">
        <f>IF(Rules!$C$115="","",TRIM(IF(COUNTIFS(Rules_Key,Rules!$C$115,Rules_Dir,Rules!$E$115)&gt;1,"Duplicate keyword+direction. ","")&amp;IF(LEN(Rules!$C$115)&lt;5,"Keyword under 5 characters - matches too much. ","")&amp;IF(AND(Rules!$D$115&lt;&gt;"",COUNTIF(Cat_Name,Rules!$D$115)=0),"Category is not on the Categories sheet - rows will fall to Review Required. ","")&amp;IF(Rules!$F$115="Broad","Broad scope - deliberately forces Review Required. ","")&amp;IF(Rules!$G$115&lt;&gt;"Yes","Rule is switched OFF. ","")&amp;IF(AND(Rules!$C$115&lt;&gt;"",Rules!$D$115=""),"Keyword with no category. ","")))</f>
        <v/>
      </c>
    </row>
    <row r="115" spans="2:8" x14ac:dyDescent="0.25">
      <c r="B115" s="73">
        <f>IF(Rules!$C$116="","",Rules!$B$116)</f>
        <v>200</v>
      </c>
      <c r="C115" s="143" t="str">
        <f>IF(Rules!$C$116="","",Rules!$C$116)</f>
        <v>MEDICAL WASTE</v>
      </c>
      <c r="D115" s="143" t="str">
        <f>IF(Rules!$C$116="","",Rules!$D$116)</f>
        <v>Medical Waste &amp; Sharps Disposal</v>
      </c>
      <c r="E115" s="73" t="str">
        <f>IF(Rules!$C$116="","",Rules!$E$116)</f>
        <v>Out</v>
      </c>
      <c r="F115" s="73" t="str">
        <f>IF(Rules!$C$116="","",Rules!$G$116)</f>
        <v>Yes</v>
      </c>
      <c r="G115" s="144">
        <v>116</v>
      </c>
      <c r="H115" s="145" t="str">
        <f>IF(Rules!$C$116="","",TRIM(IF(COUNTIFS(Rules_Key,Rules!$C$116,Rules_Dir,Rules!$E$116)&gt;1,"Duplicate keyword+direction. ","")&amp;IF(LEN(Rules!$C$116)&lt;5,"Keyword under 5 characters - matches too much. ","")&amp;IF(AND(Rules!$D$116&lt;&gt;"",COUNTIF(Cat_Name,Rules!$D$116)=0),"Category is not on the Categories sheet - rows will fall to Review Required. ","")&amp;IF(Rules!$F$116="Broad","Broad scope - deliberately forces Review Required. ","")&amp;IF(Rules!$G$116&lt;&gt;"Yes","Rule is switched OFF. ","")&amp;IF(AND(Rules!$C$116&lt;&gt;"",Rules!$D$116=""),"Keyword with no category. ","")))</f>
        <v/>
      </c>
    </row>
    <row r="116" spans="2:8" x14ac:dyDescent="0.25">
      <c r="B116" s="75">
        <f>IF(Rules!$C$117="","",Rules!$B$117)</f>
        <v>200</v>
      </c>
      <c r="C116" s="146" t="str">
        <f>IF(Rules!$C$117="","",Rules!$C$117)</f>
        <v>CINTAS</v>
      </c>
      <c r="D116" s="146" t="str">
        <f>IF(Rules!$C$117="","",Rules!$D$117)</f>
        <v>Uniforms, Scrubs &amp; Linens</v>
      </c>
      <c r="E116" s="75" t="str">
        <f>IF(Rules!$C$117="","",Rules!$E$117)</f>
        <v>Out</v>
      </c>
      <c r="F116" s="75" t="str">
        <f>IF(Rules!$C$117="","",Rules!$G$117)</f>
        <v>Yes</v>
      </c>
      <c r="G116" s="147">
        <v>117</v>
      </c>
      <c r="H116" s="148" t="str">
        <f>IF(Rules!$C$117="","",TRIM(IF(COUNTIFS(Rules_Key,Rules!$C$117,Rules_Dir,Rules!$E$117)&gt;1,"Duplicate keyword+direction. ","")&amp;IF(LEN(Rules!$C$117)&lt;5,"Keyword under 5 characters - matches too much. ","")&amp;IF(AND(Rules!$D$117&lt;&gt;"",COUNTIF(Cat_Name,Rules!$D$117)=0),"Category is not on the Categories sheet - rows will fall to Review Required. ","")&amp;IF(Rules!$F$117="Broad","Broad scope - deliberately forces Review Required. ","")&amp;IF(Rules!$G$117&lt;&gt;"Yes","Rule is switched OFF. ","")&amp;IF(AND(Rules!$C$117&lt;&gt;"",Rules!$D$117=""),"Keyword with no category. ","")))</f>
        <v/>
      </c>
    </row>
    <row r="117" spans="2:8" x14ac:dyDescent="0.25">
      <c r="B117" s="73">
        <f>IF(Rules!$C$118="","",Rules!$B$118)</f>
        <v>200</v>
      </c>
      <c r="C117" s="143" t="str">
        <f>IF(Rules!$C$118="","",Rules!$C$118)</f>
        <v>UNIFIRST</v>
      </c>
      <c r="D117" s="143" t="str">
        <f>IF(Rules!$C$118="","",Rules!$D$118)</f>
        <v>Uniforms, Scrubs &amp; Linens</v>
      </c>
      <c r="E117" s="73" t="str">
        <f>IF(Rules!$C$118="","",Rules!$E$118)</f>
        <v>Out</v>
      </c>
      <c r="F117" s="73" t="str">
        <f>IF(Rules!$C$118="","",Rules!$G$118)</f>
        <v>Yes</v>
      </c>
      <c r="G117" s="144">
        <v>118</v>
      </c>
      <c r="H117" s="145" t="str">
        <f>IF(Rules!$C$118="","",TRIM(IF(COUNTIFS(Rules_Key,Rules!$C$118,Rules_Dir,Rules!$E$118)&gt;1,"Duplicate keyword+direction. ","")&amp;IF(LEN(Rules!$C$118)&lt;5,"Keyword under 5 characters - matches too much. ","")&amp;IF(AND(Rules!$D$118&lt;&gt;"",COUNTIF(Cat_Name,Rules!$D$118)=0),"Category is not on the Categories sheet - rows will fall to Review Required. ","")&amp;IF(Rules!$F$118="Broad","Broad scope - deliberately forces Review Required. ","")&amp;IF(Rules!$G$118&lt;&gt;"Yes","Rule is switched OFF. ","")&amp;IF(AND(Rules!$C$118&lt;&gt;"",Rules!$D$118=""),"Keyword with no category. ","")))</f>
        <v/>
      </c>
    </row>
    <row r="118" spans="2:8" x14ac:dyDescent="0.25">
      <c r="B118" s="75">
        <f>IF(Rules!$C$119="","",Rules!$B$119)</f>
        <v>200</v>
      </c>
      <c r="C118" s="146" t="str">
        <f>IF(Rules!$C$119="","",Rules!$C$119)</f>
        <v>SCRUB</v>
      </c>
      <c r="D118" s="146" t="str">
        <f>IF(Rules!$C$119="","",Rules!$D$119)</f>
        <v>Uniforms, Scrubs &amp; Linens</v>
      </c>
      <c r="E118" s="75" t="str">
        <f>IF(Rules!$C$119="","",Rules!$E$119)</f>
        <v>Out</v>
      </c>
      <c r="F118" s="75" t="str">
        <f>IF(Rules!$C$119="","",Rules!$G$119)</f>
        <v>Yes</v>
      </c>
      <c r="G118" s="147">
        <v>119</v>
      </c>
      <c r="H118" s="148" t="str">
        <f>IF(Rules!$C$119="","",TRIM(IF(COUNTIFS(Rules_Key,Rules!$C$119,Rules_Dir,Rules!$E$119)&gt;1,"Duplicate keyword+direction. ","")&amp;IF(LEN(Rules!$C$119)&lt;5,"Keyword under 5 characters - matches too much. ","")&amp;IF(AND(Rules!$D$119&lt;&gt;"",COUNTIF(Cat_Name,Rules!$D$119)=0),"Category is not on the Categories sheet - rows will fall to Review Required. ","")&amp;IF(Rules!$F$119="Broad","Broad scope - deliberately forces Review Required. ","")&amp;IF(Rules!$G$119&lt;&gt;"Yes","Rule is switched OFF. ","")&amp;IF(AND(Rules!$C$119&lt;&gt;"",Rules!$D$119=""),"Keyword with no category. ","")))</f>
        <v/>
      </c>
    </row>
    <row r="119" spans="2:8" x14ac:dyDescent="0.25">
      <c r="B119" s="73">
        <f>IF(Rules!$C$120="","",Rules!$B$120)</f>
        <v>200</v>
      </c>
      <c r="C119" s="143" t="str">
        <f>IF(Rules!$C$120="","",Rules!$C$120)</f>
        <v>ATHENAHEALTH</v>
      </c>
      <c r="D119" s="143" t="str">
        <f>IF(Rules!$C$120="","",Rules!$D$120)</f>
        <v>EHR / Practice Management Software</v>
      </c>
      <c r="E119" s="73" t="str">
        <f>IF(Rules!$C$120="","",Rules!$E$120)</f>
        <v>Out</v>
      </c>
      <c r="F119" s="73" t="str">
        <f>IF(Rules!$C$120="","",Rules!$G$120)</f>
        <v>Yes</v>
      </c>
      <c r="G119" s="144">
        <v>120</v>
      </c>
      <c r="H119" s="145" t="str">
        <f>IF(Rules!$C$120="","",TRIM(IF(COUNTIFS(Rules_Key,Rules!$C$120,Rules_Dir,Rules!$E$120)&gt;1,"Duplicate keyword+direction. ","")&amp;IF(LEN(Rules!$C$120)&lt;5,"Keyword under 5 characters - matches too much. ","")&amp;IF(AND(Rules!$D$120&lt;&gt;"",COUNTIF(Cat_Name,Rules!$D$120)=0),"Category is not on the Categories sheet - rows will fall to Review Required. ","")&amp;IF(Rules!$F$120="Broad","Broad scope - deliberately forces Review Required. ","")&amp;IF(Rules!$G$120&lt;&gt;"Yes","Rule is switched OFF. ","")&amp;IF(AND(Rules!$C$120&lt;&gt;"",Rules!$D$120=""),"Keyword with no category. ","")))</f>
        <v/>
      </c>
    </row>
    <row r="120" spans="2:8" x14ac:dyDescent="0.25">
      <c r="B120" s="75">
        <f>IF(Rules!$C$121="","",Rules!$B$121)</f>
        <v>200</v>
      </c>
      <c r="C120" s="146" t="str">
        <f>IF(Rules!$C$121="","",Rules!$C$121)</f>
        <v>ECLINICALWORKS</v>
      </c>
      <c r="D120" s="146" t="str">
        <f>IF(Rules!$C$121="","",Rules!$D$121)</f>
        <v>EHR / Practice Management Software</v>
      </c>
      <c r="E120" s="75" t="str">
        <f>IF(Rules!$C$121="","",Rules!$E$121)</f>
        <v>Out</v>
      </c>
      <c r="F120" s="75" t="str">
        <f>IF(Rules!$C$121="","",Rules!$G$121)</f>
        <v>Yes</v>
      </c>
      <c r="G120" s="147">
        <v>121</v>
      </c>
      <c r="H120" s="148" t="str">
        <f>IF(Rules!$C$121="","",TRIM(IF(COUNTIFS(Rules_Key,Rules!$C$121,Rules_Dir,Rules!$E$121)&gt;1,"Duplicate keyword+direction. ","")&amp;IF(LEN(Rules!$C$121)&lt;5,"Keyword under 5 characters - matches too much. ","")&amp;IF(AND(Rules!$D$121&lt;&gt;"",COUNTIF(Cat_Name,Rules!$D$121)=0),"Category is not on the Categories sheet - rows will fall to Review Required. ","")&amp;IF(Rules!$F$121="Broad","Broad scope - deliberately forces Review Required. ","")&amp;IF(Rules!$G$121&lt;&gt;"Yes","Rule is switched OFF. ","")&amp;IF(AND(Rules!$C$121&lt;&gt;"",Rules!$D$121=""),"Keyword with no category. ","")))</f>
        <v/>
      </c>
    </row>
    <row r="121" spans="2:8" x14ac:dyDescent="0.25">
      <c r="B121" s="73">
        <f>IF(Rules!$C$122="","",Rules!$B$122)</f>
        <v>200</v>
      </c>
      <c r="C121" s="143" t="str">
        <f>IF(Rules!$C$122="","",Rules!$C$122)</f>
        <v>NEXTGEN</v>
      </c>
      <c r="D121" s="143" t="str">
        <f>IF(Rules!$C$122="","",Rules!$D$122)</f>
        <v>EHR / Practice Management Software</v>
      </c>
      <c r="E121" s="73" t="str">
        <f>IF(Rules!$C$122="","",Rules!$E$122)</f>
        <v>Out</v>
      </c>
      <c r="F121" s="73" t="str">
        <f>IF(Rules!$C$122="","",Rules!$G$122)</f>
        <v>Yes</v>
      </c>
      <c r="G121" s="144">
        <v>122</v>
      </c>
      <c r="H121" s="145" t="str">
        <f>IF(Rules!$C$122="","",TRIM(IF(COUNTIFS(Rules_Key,Rules!$C$122,Rules_Dir,Rules!$E$122)&gt;1,"Duplicate keyword+direction. ","")&amp;IF(LEN(Rules!$C$122)&lt;5,"Keyword under 5 characters - matches too much. ","")&amp;IF(AND(Rules!$D$122&lt;&gt;"",COUNTIF(Cat_Name,Rules!$D$122)=0),"Category is not on the Categories sheet - rows will fall to Review Required. ","")&amp;IF(Rules!$F$122="Broad","Broad scope - deliberately forces Review Required. ","")&amp;IF(Rules!$G$122&lt;&gt;"Yes","Rule is switched OFF. ","")&amp;IF(AND(Rules!$C$122&lt;&gt;"",Rules!$D$122=""),"Keyword with no category. ","")))</f>
        <v/>
      </c>
    </row>
    <row r="122" spans="2:8" x14ac:dyDescent="0.25">
      <c r="B122" s="75">
        <f>IF(Rules!$C$123="","",Rules!$B$123)</f>
        <v>200</v>
      </c>
      <c r="C122" s="146" t="str">
        <f>IF(Rules!$C$123="","",Rules!$C$123)</f>
        <v>KAREO</v>
      </c>
      <c r="D122" s="146" t="str">
        <f>IF(Rules!$C$123="","",Rules!$D$123)</f>
        <v>EHR / Practice Management Software</v>
      </c>
      <c r="E122" s="75" t="str">
        <f>IF(Rules!$C$123="","",Rules!$E$123)</f>
        <v>Out</v>
      </c>
      <c r="F122" s="75" t="str">
        <f>IF(Rules!$C$123="","",Rules!$G$123)</f>
        <v>Yes</v>
      </c>
      <c r="G122" s="147">
        <v>123</v>
      </c>
      <c r="H122" s="148" t="str">
        <f>IF(Rules!$C$123="","",TRIM(IF(COUNTIFS(Rules_Key,Rules!$C$123,Rules_Dir,Rules!$E$123)&gt;1,"Duplicate keyword+direction. ","")&amp;IF(LEN(Rules!$C$123)&lt;5,"Keyword under 5 characters - matches too much. ","")&amp;IF(AND(Rules!$D$123&lt;&gt;"",COUNTIF(Cat_Name,Rules!$D$123)=0),"Category is not on the Categories sheet - rows will fall to Review Required. ","")&amp;IF(Rules!$F$123="Broad","Broad scope - deliberately forces Review Required. ","")&amp;IF(Rules!$G$123&lt;&gt;"Yes","Rule is switched OFF. ","")&amp;IF(AND(Rules!$C$123&lt;&gt;"",Rules!$D$123=""),"Keyword with no category. ","")))</f>
        <v/>
      </c>
    </row>
    <row r="123" spans="2:8" x14ac:dyDescent="0.25">
      <c r="B123" s="73">
        <f>IF(Rules!$C$124="","",Rules!$B$124)</f>
        <v>200</v>
      </c>
      <c r="C123" s="143" t="str">
        <f>IF(Rules!$C$124="","",Rules!$C$124)</f>
        <v>TEBRA</v>
      </c>
      <c r="D123" s="143" t="str">
        <f>IF(Rules!$C$124="","",Rules!$D$124)</f>
        <v>EHR / Practice Management Software</v>
      </c>
      <c r="E123" s="73" t="str">
        <f>IF(Rules!$C$124="","",Rules!$E$124)</f>
        <v>Out</v>
      </c>
      <c r="F123" s="73" t="str">
        <f>IF(Rules!$C$124="","",Rules!$G$124)</f>
        <v>Yes</v>
      </c>
      <c r="G123" s="144">
        <v>124</v>
      </c>
      <c r="H123" s="145" t="str">
        <f>IF(Rules!$C$124="","",TRIM(IF(COUNTIFS(Rules_Key,Rules!$C$124,Rules_Dir,Rules!$E$124)&gt;1,"Duplicate keyword+direction. ","")&amp;IF(LEN(Rules!$C$124)&lt;5,"Keyword under 5 characters - matches too much. ","")&amp;IF(AND(Rules!$D$124&lt;&gt;"",COUNTIF(Cat_Name,Rules!$D$124)=0),"Category is not on the Categories sheet - rows will fall to Review Required. ","")&amp;IF(Rules!$F$124="Broad","Broad scope - deliberately forces Review Required. ","")&amp;IF(Rules!$G$124&lt;&gt;"Yes","Rule is switched OFF. ","")&amp;IF(AND(Rules!$C$124&lt;&gt;"",Rules!$D$124=""),"Keyword with no category. ","")))</f>
        <v/>
      </c>
    </row>
    <row r="124" spans="2:8" x14ac:dyDescent="0.25">
      <c r="B124" s="75">
        <f>IF(Rules!$C$125="","",Rules!$B$125)</f>
        <v>200</v>
      </c>
      <c r="C124" s="146" t="str">
        <f>IF(Rules!$C$125="","",Rules!$C$125)</f>
        <v>SIMPLEPRACTICE</v>
      </c>
      <c r="D124" s="146" t="str">
        <f>IF(Rules!$C$125="","",Rules!$D$125)</f>
        <v>EHR / Practice Management Software</v>
      </c>
      <c r="E124" s="75" t="str">
        <f>IF(Rules!$C$125="","",Rules!$E$125)</f>
        <v>Out</v>
      </c>
      <c r="F124" s="75" t="str">
        <f>IF(Rules!$C$125="","",Rules!$G$125)</f>
        <v>Yes</v>
      </c>
      <c r="G124" s="147">
        <v>125</v>
      </c>
      <c r="H124" s="148" t="str">
        <f>IF(Rules!$C$125="","",TRIM(IF(COUNTIFS(Rules_Key,Rules!$C$125,Rules_Dir,Rules!$E$125)&gt;1,"Duplicate keyword+direction. ","")&amp;IF(LEN(Rules!$C$125)&lt;5,"Keyword under 5 characters - matches too much. ","")&amp;IF(AND(Rules!$D$125&lt;&gt;"",COUNTIF(Cat_Name,Rules!$D$125)=0),"Category is not on the Categories sheet - rows will fall to Review Required. ","")&amp;IF(Rules!$F$125="Broad","Broad scope - deliberately forces Review Required. ","")&amp;IF(Rules!$G$125&lt;&gt;"Yes","Rule is switched OFF. ","")&amp;IF(AND(Rules!$C$125&lt;&gt;"",Rules!$D$125=""),"Keyword with no category. ","")))</f>
        <v/>
      </c>
    </row>
    <row r="125" spans="2:8" x14ac:dyDescent="0.25">
      <c r="B125" s="73">
        <f>IF(Rules!$C$126="","",Rules!$B$126)</f>
        <v>200</v>
      </c>
      <c r="C125" s="143" t="str">
        <f>IF(Rules!$C$126="","",Rules!$C$126)</f>
        <v>THERAPYNOTES</v>
      </c>
      <c r="D125" s="143" t="str">
        <f>IF(Rules!$C$126="","",Rules!$D$126)</f>
        <v>EHR / Practice Management Software</v>
      </c>
      <c r="E125" s="73" t="str">
        <f>IF(Rules!$C$126="","",Rules!$E$126)</f>
        <v>Out</v>
      </c>
      <c r="F125" s="73" t="str">
        <f>IF(Rules!$C$126="","",Rules!$G$126)</f>
        <v>Yes</v>
      </c>
      <c r="G125" s="144">
        <v>126</v>
      </c>
      <c r="H125" s="145" t="str">
        <f>IF(Rules!$C$126="","",TRIM(IF(COUNTIFS(Rules_Key,Rules!$C$126,Rules_Dir,Rules!$E$126)&gt;1,"Duplicate keyword+direction. ","")&amp;IF(LEN(Rules!$C$126)&lt;5,"Keyword under 5 characters - matches too much. ","")&amp;IF(AND(Rules!$D$126&lt;&gt;"",COUNTIF(Cat_Name,Rules!$D$126)=0),"Category is not on the Categories sheet - rows will fall to Review Required. ","")&amp;IF(Rules!$F$126="Broad","Broad scope - deliberately forces Review Required. ","")&amp;IF(Rules!$G$126&lt;&gt;"Yes","Rule is switched OFF. ","")&amp;IF(AND(Rules!$C$126&lt;&gt;"",Rules!$D$126=""),"Keyword with no category. ","")))</f>
        <v/>
      </c>
    </row>
    <row r="126" spans="2:8" x14ac:dyDescent="0.25">
      <c r="B126" s="75">
        <f>IF(Rules!$C$127="","",Rules!$B$127)</f>
        <v>200</v>
      </c>
      <c r="C126" s="146" t="str">
        <f>IF(Rules!$C$127="","",Rules!$C$127)</f>
        <v>CHIROTOUCH</v>
      </c>
      <c r="D126" s="146" t="str">
        <f>IF(Rules!$C$127="","",Rules!$D$127)</f>
        <v>EHR / Practice Management Software</v>
      </c>
      <c r="E126" s="75" t="str">
        <f>IF(Rules!$C$127="","",Rules!$E$127)</f>
        <v>Out</v>
      </c>
      <c r="F126" s="75" t="str">
        <f>IF(Rules!$C$127="","",Rules!$G$127)</f>
        <v>Yes</v>
      </c>
      <c r="G126" s="147">
        <v>127</v>
      </c>
      <c r="H126" s="148" t="str">
        <f>IF(Rules!$C$127="","",TRIM(IF(COUNTIFS(Rules_Key,Rules!$C$127,Rules_Dir,Rules!$E$127)&gt;1,"Duplicate keyword+direction. ","")&amp;IF(LEN(Rules!$C$127)&lt;5,"Keyword under 5 characters - matches too much. ","")&amp;IF(AND(Rules!$D$127&lt;&gt;"",COUNTIF(Cat_Name,Rules!$D$127)=0),"Category is not on the Categories sheet - rows will fall to Review Required. ","")&amp;IF(Rules!$F$127="Broad","Broad scope - deliberately forces Review Required. ","")&amp;IF(Rules!$G$127&lt;&gt;"Yes","Rule is switched OFF. ","")&amp;IF(AND(Rules!$C$127&lt;&gt;"",Rules!$D$127=""),"Keyword with no category. ","")))</f>
        <v/>
      </c>
    </row>
    <row r="127" spans="2:8" x14ac:dyDescent="0.25">
      <c r="B127" s="73">
        <f>IF(Rules!$C$128="","",Rules!$B$128)</f>
        <v>200</v>
      </c>
      <c r="C127" s="143" t="str">
        <f>IF(Rules!$C$128="","",Rules!$C$128)</f>
        <v>DENTRIX</v>
      </c>
      <c r="D127" s="143" t="str">
        <f>IF(Rules!$C$128="","",Rules!$D$128)</f>
        <v>EHR / Practice Management Software</v>
      </c>
      <c r="E127" s="73" t="str">
        <f>IF(Rules!$C$128="","",Rules!$E$128)</f>
        <v>Out</v>
      </c>
      <c r="F127" s="73" t="str">
        <f>IF(Rules!$C$128="","",Rules!$G$128)</f>
        <v>Yes</v>
      </c>
      <c r="G127" s="144">
        <v>128</v>
      </c>
      <c r="H127" s="145" t="str">
        <f>IF(Rules!$C$128="","",TRIM(IF(COUNTIFS(Rules_Key,Rules!$C$128,Rules_Dir,Rules!$E$128)&gt;1,"Duplicate keyword+direction. ","")&amp;IF(LEN(Rules!$C$128)&lt;5,"Keyword under 5 characters - matches too much. ","")&amp;IF(AND(Rules!$D$128&lt;&gt;"",COUNTIF(Cat_Name,Rules!$D$128)=0),"Category is not on the Categories sheet - rows will fall to Review Required. ","")&amp;IF(Rules!$F$128="Broad","Broad scope - deliberately forces Review Required. ","")&amp;IF(Rules!$G$128&lt;&gt;"Yes","Rule is switched OFF. ","")&amp;IF(AND(Rules!$C$128&lt;&gt;"",Rules!$D$128=""),"Keyword with no category. ","")))</f>
        <v/>
      </c>
    </row>
    <row r="128" spans="2:8" x14ac:dyDescent="0.25">
      <c r="B128" s="75">
        <f>IF(Rules!$C$129="","",Rules!$B$129)</f>
        <v>200</v>
      </c>
      <c r="C128" s="146" t="str">
        <f>IF(Rules!$C$129="","",Rules!$C$129)</f>
        <v>EAGLESOFT</v>
      </c>
      <c r="D128" s="146" t="str">
        <f>IF(Rules!$C$129="","",Rules!$D$129)</f>
        <v>EHR / Practice Management Software</v>
      </c>
      <c r="E128" s="75" t="str">
        <f>IF(Rules!$C$129="","",Rules!$E$129)</f>
        <v>Out</v>
      </c>
      <c r="F128" s="75" t="str">
        <f>IF(Rules!$C$129="","",Rules!$G$129)</f>
        <v>Yes</v>
      </c>
      <c r="G128" s="147">
        <v>129</v>
      </c>
      <c r="H128" s="148" t="str">
        <f>IF(Rules!$C$129="","",TRIM(IF(COUNTIFS(Rules_Key,Rules!$C$129,Rules_Dir,Rules!$E$129)&gt;1,"Duplicate keyword+direction. ","")&amp;IF(LEN(Rules!$C$129)&lt;5,"Keyword under 5 characters - matches too much. ","")&amp;IF(AND(Rules!$D$129&lt;&gt;"",COUNTIF(Cat_Name,Rules!$D$129)=0),"Category is not on the Categories sheet - rows will fall to Review Required. ","")&amp;IF(Rules!$F$129="Broad","Broad scope - deliberately forces Review Required. ","")&amp;IF(Rules!$G$129&lt;&gt;"Yes","Rule is switched OFF. ","")&amp;IF(AND(Rules!$C$129&lt;&gt;"",Rules!$D$129=""),"Keyword with no category. ","")))</f>
        <v/>
      </c>
    </row>
    <row r="129" spans="2:8" x14ac:dyDescent="0.25">
      <c r="B129" s="73">
        <f>IF(Rules!$C$130="","",Rules!$B$130)</f>
        <v>200</v>
      </c>
      <c r="C129" s="143" t="str">
        <f>IF(Rules!$C$130="","",Rules!$C$130)</f>
        <v>OPEN DENTAL</v>
      </c>
      <c r="D129" s="143" t="str">
        <f>IF(Rules!$C$130="","",Rules!$D$130)</f>
        <v>EHR / Practice Management Software</v>
      </c>
      <c r="E129" s="73" t="str">
        <f>IF(Rules!$C$130="","",Rules!$E$130)</f>
        <v>Out</v>
      </c>
      <c r="F129" s="73" t="str">
        <f>IF(Rules!$C$130="","",Rules!$G$130)</f>
        <v>Yes</v>
      </c>
      <c r="G129" s="144">
        <v>130</v>
      </c>
      <c r="H129" s="145" t="str">
        <f>IF(Rules!$C$130="","",TRIM(IF(COUNTIFS(Rules_Key,Rules!$C$130,Rules_Dir,Rules!$E$130)&gt;1,"Duplicate keyword+direction. ","")&amp;IF(LEN(Rules!$C$130)&lt;5,"Keyword under 5 characters - matches too much. ","")&amp;IF(AND(Rules!$D$130&lt;&gt;"",COUNTIF(Cat_Name,Rules!$D$130)=0),"Category is not on the Categories sheet - rows will fall to Review Required. ","")&amp;IF(Rules!$F$130="Broad","Broad scope - deliberately forces Review Required. ","")&amp;IF(Rules!$G$130&lt;&gt;"Yes","Rule is switched OFF. ","")&amp;IF(AND(Rules!$C$130&lt;&gt;"",Rules!$D$130=""),"Keyword with no category. ","")))</f>
        <v/>
      </c>
    </row>
    <row r="130" spans="2:8" x14ac:dyDescent="0.25">
      <c r="B130" s="75">
        <f>IF(Rules!$C$131="","",Rules!$B$131)</f>
        <v>200</v>
      </c>
      <c r="C130" s="146" t="str">
        <f>IF(Rules!$C$131="","",Rules!$C$131)</f>
        <v>REVOLUTIONEHR</v>
      </c>
      <c r="D130" s="146" t="str">
        <f>IF(Rules!$C$131="","",Rules!$D$131)</f>
        <v>EHR / Practice Management Software</v>
      </c>
      <c r="E130" s="75" t="str">
        <f>IF(Rules!$C$131="","",Rules!$E$131)</f>
        <v>Out</v>
      </c>
      <c r="F130" s="75" t="str">
        <f>IF(Rules!$C$131="","",Rules!$G$131)</f>
        <v>Yes</v>
      </c>
      <c r="G130" s="147">
        <v>131</v>
      </c>
      <c r="H130" s="148" t="str">
        <f>IF(Rules!$C$131="","",TRIM(IF(COUNTIFS(Rules_Key,Rules!$C$131,Rules_Dir,Rules!$E$131)&gt;1,"Duplicate keyword+direction. ","")&amp;IF(LEN(Rules!$C$131)&lt;5,"Keyword under 5 characters - matches too much. ","")&amp;IF(AND(Rules!$D$131&lt;&gt;"",COUNTIF(Cat_Name,Rules!$D$131)=0),"Category is not on the Categories sheet - rows will fall to Review Required. ","")&amp;IF(Rules!$F$131="Broad","Broad scope - deliberately forces Review Required. ","")&amp;IF(Rules!$G$131&lt;&gt;"Yes","Rule is switched OFF. ","")&amp;IF(AND(Rules!$C$131&lt;&gt;"",Rules!$D$131=""),"Keyword with no category. ","")))</f>
        <v/>
      </c>
    </row>
    <row r="131" spans="2:8" x14ac:dyDescent="0.25">
      <c r="B131" s="73">
        <f>IF(Rules!$C$132="","",Rules!$B$132)</f>
        <v>200</v>
      </c>
      <c r="C131" s="143" t="str">
        <f>IF(Rules!$C$132="","",Rules!$C$132)</f>
        <v>WELLSKY</v>
      </c>
      <c r="D131" s="143" t="str">
        <f>IF(Rules!$C$132="","",Rules!$D$132)</f>
        <v>EHR / Practice Management Software</v>
      </c>
      <c r="E131" s="73" t="str">
        <f>IF(Rules!$C$132="","",Rules!$E$132)</f>
        <v>Out</v>
      </c>
      <c r="F131" s="73" t="str">
        <f>IF(Rules!$C$132="","",Rules!$G$132)</f>
        <v>Yes</v>
      </c>
      <c r="G131" s="144">
        <v>132</v>
      </c>
      <c r="H131" s="145" t="str">
        <f>IF(Rules!$C$132="","",TRIM(IF(COUNTIFS(Rules_Key,Rules!$C$132,Rules_Dir,Rules!$E$132)&gt;1,"Duplicate keyword+direction. ","")&amp;IF(LEN(Rules!$C$132)&lt;5,"Keyword under 5 characters - matches too much. ","")&amp;IF(AND(Rules!$D$132&lt;&gt;"",COUNTIF(Cat_Name,Rules!$D$132)=0),"Category is not on the Categories sheet - rows will fall to Review Required. ","")&amp;IF(Rules!$F$132="Broad","Broad scope - deliberately forces Review Required. ","")&amp;IF(Rules!$G$132&lt;&gt;"Yes","Rule is switched OFF. ","")&amp;IF(AND(Rules!$C$132&lt;&gt;"",Rules!$D$132=""),"Keyword with no category. ","")))</f>
        <v/>
      </c>
    </row>
    <row r="132" spans="2:8" x14ac:dyDescent="0.25">
      <c r="B132" s="75">
        <f>IF(Rules!$C$133="","",Rules!$B$133)</f>
        <v>200</v>
      </c>
      <c r="C132" s="146" t="str">
        <f>IF(Rules!$C$133="","",Rules!$C$133)</f>
        <v>AXXESS</v>
      </c>
      <c r="D132" s="146" t="str">
        <f>IF(Rules!$C$133="","",Rules!$D$133)</f>
        <v>EHR / Practice Management Software</v>
      </c>
      <c r="E132" s="75" t="str">
        <f>IF(Rules!$C$133="","",Rules!$E$133)</f>
        <v>Out</v>
      </c>
      <c r="F132" s="75" t="str">
        <f>IF(Rules!$C$133="","",Rules!$G$133)</f>
        <v>Yes</v>
      </c>
      <c r="G132" s="147">
        <v>133</v>
      </c>
      <c r="H132" s="148" t="str">
        <f>IF(Rules!$C$133="","",TRIM(IF(COUNTIFS(Rules_Key,Rules!$C$133,Rules_Dir,Rules!$E$133)&gt;1,"Duplicate keyword+direction. ","")&amp;IF(LEN(Rules!$C$133)&lt;5,"Keyword under 5 characters - matches too much. ","")&amp;IF(AND(Rules!$D$133&lt;&gt;"",COUNTIF(Cat_Name,Rules!$D$133)=0),"Category is not on the Categories sheet - rows will fall to Review Required. ","")&amp;IF(Rules!$F$133="Broad","Broad scope - deliberately forces Review Required. ","")&amp;IF(Rules!$G$133&lt;&gt;"Yes","Rule is switched OFF. ","")&amp;IF(AND(Rules!$C$133&lt;&gt;"",Rules!$D$133=""),"Keyword with no category. ","")))</f>
        <v/>
      </c>
    </row>
    <row r="133" spans="2:8" x14ac:dyDescent="0.25">
      <c r="B133" s="73">
        <f>IF(Rules!$C$134="","",Rules!$B$134)</f>
        <v>200</v>
      </c>
      <c r="C133" s="143" t="str">
        <f>IF(Rules!$C$134="","",Rules!$C$134)</f>
        <v>AVAILITY</v>
      </c>
      <c r="D133" s="143" t="str">
        <f>IF(Rules!$C$134="","",Rules!$D$134)</f>
        <v>Billing &amp; Clearinghouse Fees</v>
      </c>
      <c r="E133" s="73" t="str">
        <f>IF(Rules!$C$134="","",Rules!$E$134)</f>
        <v>Out</v>
      </c>
      <c r="F133" s="73" t="str">
        <f>IF(Rules!$C$134="","",Rules!$G$134)</f>
        <v>Yes</v>
      </c>
      <c r="G133" s="144">
        <v>134</v>
      </c>
      <c r="H133" s="145" t="str">
        <f>IF(Rules!$C$134="","",TRIM(IF(COUNTIFS(Rules_Key,Rules!$C$134,Rules_Dir,Rules!$E$134)&gt;1,"Duplicate keyword+direction. ","")&amp;IF(LEN(Rules!$C$134)&lt;5,"Keyword under 5 characters - matches too much. ","")&amp;IF(AND(Rules!$D$134&lt;&gt;"",COUNTIF(Cat_Name,Rules!$D$134)=0),"Category is not on the Categories sheet - rows will fall to Review Required. ","")&amp;IF(Rules!$F$134="Broad","Broad scope - deliberately forces Review Required. ","")&amp;IF(Rules!$G$134&lt;&gt;"Yes","Rule is switched OFF. ","")&amp;IF(AND(Rules!$C$134&lt;&gt;"",Rules!$D$134=""),"Keyword with no category. ","")))</f>
        <v/>
      </c>
    </row>
    <row r="134" spans="2:8" x14ac:dyDescent="0.25">
      <c r="B134" s="75">
        <f>IF(Rules!$C$135="","",Rules!$B$135)</f>
        <v>200</v>
      </c>
      <c r="C134" s="146" t="str">
        <f>IF(Rules!$C$135="","",Rules!$C$135)</f>
        <v>WAYSTAR</v>
      </c>
      <c r="D134" s="146" t="str">
        <f>IF(Rules!$C$135="","",Rules!$D$135)</f>
        <v>Billing &amp; Clearinghouse Fees</v>
      </c>
      <c r="E134" s="75" t="str">
        <f>IF(Rules!$C$135="","",Rules!$E$135)</f>
        <v>Out</v>
      </c>
      <c r="F134" s="75" t="str">
        <f>IF(Rules!$C$135="","",Rules!$G$135)</f>
        <v>Yes</v>
      </c>
      <c r="G134" s="147">
        <v>135</v>
      </c>
      <c r="H134" s="148" t="str">
        <f>IF(Rules!$C$135="","",TRIM(IF(COUNTIFS(Rules_Key,Rules!$C$135,Rules_Dir,Rules!$E$135)&gt;1,"Duplicate keyword+direction. ","")&amp;IF(LEN(Rules!$C$135)&lt;5,"Keyword under 5 characters - matches too much. ","")&amp;IF(AND(Rules!$D$135&lt;&gt;"",COUNTIF(Cat_Name,Rules!$D$135)=0),"Category is not on the Categories sheet - rows will fall to Review Required. ","")&amp;IF(Rules!$F$135="Broad","Broad scope - deliberately forces Review Required. ","")&amp;IF(Rules!$G$135&lt;&gt;"Yes","Rule is switched OFF. ","")&amp;IF(AND(Rules!$C$135&lt;&gt;"",Rules!$D$135=""),"Keyword with no category. ","")))</f>
        <v/>
      </c>
    </row>
    <row r="135" spans="2:8" x14ac:dyDescent="0.25">
      <c r="B135" s="73">
        <f>IF(Rules!$C$136="","",Rules!$B$136)</f>
        <v>200</v>
      </c>
      <c r="C135" s="143" t="str">
        <f>IF(Rules!$C$136="","",Rules!$C$136)</f>
        <v>CHANGE HEALTH</v>
      </c>
      <c r="D135" s="143" t="str">
        <f>IF(Rules!$C$136="","",Rules!$D$136)</f>
        <v>Billing &amp; Clearinghouse Fees</v>
      </c>
      <c r="E135" s="73" t="str">
        <f>IF(Rules!$C$136="","",Rules!$E$136)</f>
        <v>Out</v>
      </c>
      <c r="F135" s="73" t="str">
        <f>IF(Rules!$C$136="","",Rules!$G$136)</f>
        <v>Yes</v>
      </c>
      <c r="G135" s="144">
        <v>136</v>
      </c>
      <c r="H135" s="145" t="str">
        <f>IF(Rules!$C$136="","",TRIM(IF(COUNTIFS(Rules_Key,Rules!$C$136,Rules_Dir,Rules!$E$136)&gt;1,"Duplicate keyword+direction. ","")&amp;IF(LEN(Rules!$C$136)&lt;5,"Keyword under 5 characters - matches too much. ","")&amp;IF(AND(Rules!$D$136&lt;&gt;"",COUNTIF(Cat_Name,Rules!$D$136)=0),"Category is not on the Categories sheet - rows will fall to Review Required. ","")&amp;IF(Rules!$F$136="Broad","Broad scope - deliberately forces Review Required. ","")&amp;IF(Rules!$G$136&lt;&gt;"Yes","Rule is switched OFF. ","")&amp;IF(AND(Rules!$C$136&lt;&gt;"",Rules!$D$136=""),"Keyword with no category. ","")))</f>
        <v/>
      </c>
    </row>
    <row r="136" spans="2:8" x14ac:dyDescent="0.25">
      <c r="B136" s="75">
        <f>IF(Rules!$C$137="","",Rules!$B$137)</f>
        <v>200</v>
      </c>
      <c r="C136" s="146" t="str">
        <f>IF(Rules!$C$137="","",Rules!$C$137)</f>
        <v>OFFICE ALLY</v>
      </c>
      <c r="D136" s="146" t="str">
        <f>IF(Rules!$C$137="","",Rules!$D$137)</f>
        <v>Billing &amp; Clearinghouse Fees</v>
      </c>
      <c r="E136" s="75" t="str">
        <f>IF(Rules!$C$137="","",Rules!$E$137)</f>
        <v>Out</v>
      </c>
      <c r="F136" s="75" t="str">
        <f>IF(Rules!$C$137="","",Rules!$G$137)</f>
        <v>Yes</v>
      </c>
      <c r="G136" s="147">
        <v>137</v>
      </c>
      <c r="H136" s="148" t="str">
        <f>IF(Rules!$C$137="","",TRIM(IF(COUNTIFS(Rules_Key,Rules!$C$137,Rules_Dir,Rules!$E$137)&gt;1,"Duplicate keyword+direction. ","")&amp;IF(LEN(Rules!$C$137)&lt;5,"Keyword under 5 characters - matches too much. ","")&amp;IF(AND(Rules!$D$137&lt;&gt;"",COUNTIF(Cat_Name,Rules!$D$137)=0),"Category is not on the Categories sheet - rows will fall to Review Required. ","")&amp;IF(Rules!$F$137="Broad","Broad scope - deliberately forces Review Required. ","")&amp;IF(Rules!$G$137&lt;&gt;"Yes","Rule is switched OFF. ","")&amp;IF(AND(Rules!$C$137&lt;&gt;"",Rules!$D$137=""),"Keyword with no category. ","")))</f>
        <v/>
      </c>
    </row>
    <row r="137" spans="2:8" x14ac:dyDescent="0.25">
      <c r="B137" s="73">
        <f>IF(Rules!$C$138="","",Rules!$B$138)</f>
        <v>200</v>
      </c>
      <c r="C137" s="143" t="str">
        <f>IF(Rules!$C$138="","",Rules!$C$138)</f>
        <v>DOXY</v>
      </c>
      <c r="D137" s="143" t="str">
        <f>IF(Rules!$C$138="","",Rules!$D$138)</f>
        <v>Telehealth Platform</v>
      </c>
      <c r="E137" s="73" t="str">
        <f>IF(Rules!$C$138="","",Rules!$E$138)</f>
        <v>Out</v>
      </c>
      <c r="F137" s="73" t="str">
        <f>IF(Rules!$C$138="","",Rules!$G$138)</f>
        <v>Yes</v>
      </c>
      <c r="G137" s="144">
        <v>138</v>
      </c>
      <c r="H137" s="145" t="str">
        <f>IF(Rules!$C$138="","",TRIM(IF(COUNTIFS(Rules_Key,Rules!$C$138,Rules_Dir,Rules!$E$138)&gt;1,"Duplicate keyword+direction. ","")&amp;IF(LEN(Rules!$C$138)&lt;5,"Keyword under 5 characters - matches too much. ","")&amp;IF(AND(Rules!$D$138&lt;&gt;"",COUNTIF(Cat_Name,Rules!$D$138)=0),"Category is not on the Categories sheet - rows will fall to Review Required. ","")&amp;IF(Rules!$F$138="Broad","Broad scope - deliberately forces Review Required. ","")&amp;IF(Rules!$G$138&lt;&gt;"Yes","Rule is switched OFF. ","")&amp;IF(AND(Rules!$C$138&lt;&gt;"",Rules!$D$138=""),"Keyword with no category. ","")))</f>
        <v>Keyword under 5 characters - matches too much.</v>
      </c>
    </row>
    <row r="138" spans="2:8" x14ac:dyDescent="0.25">
      <c r="B138" s="75">
        <f>IF(Rules!$C$139="","",Rules!$B$139)</f>
        <v>200</v>
      </c>
      <c r="C138" s="146" t="str">
        <f>IF(Rules!$C$139="","",Rules!$C$139)</f>
        <v>PAUBOX</v>
      </c>
      <c r="D138" s="146" t="str">
        <f>IF(Rules!$C$139="","",Rules!$D$139)</f>
        <v>HIPAA Compliance &amp; Secure Communications</v>
      </c>
      <c r="E138" s="75" t="str">
        <f>IF(Rules!$C$139="","",Rules!$E$139)</f>
        <v>Out</v>
      </c>
      <c r="F138" s="75" t="str">
        <f>IF(Rules!$C$139="","",Rules!$G$139)</f>
        <v>Yes</v>
      </c>
      <c r="G138" s="147">
        <v>139</v>
      </c>
      <c r="H138" s="148" t="str">
        <f>IF(Rules!$C$139="","",TRIM(IF(COUNTIFS(Rules_Key,Rules!$C$139,Rules_Dir,Rules!$E$139)&gt;1,"Duplicate keyword+direction. ","")&amp;IF(LEN(Rules!$C$139)&lt;5,"Keyword under 5 characters - matches too much. ","")&amp;IF(AND(Rules!$D$139&lt;&gt;"",COUNTIF(Cat_Name,Rules!$D$139)=0),"Category is not on the Categories sheet - rows will fall to Review Required. ","")&amp;IF(Rules!$F$139="Broad","Broad scope - deliberately forces Review Required. ","")&amp;IF(Rules!$G$139&lt;&gt;"Yes","Rule is switched OFF. ","")&amp;IF(AND(Rules!$C$139&lt;&gt;"",Rules!$D$139=""),"Keyword with no category. ","")))</f>
        <v/>
      </c>
    </row>
    <row r="139" spans="2:8" x14ac:dyDescent="0.25">
      <c r="B139" s="73">
        <f>IF(Rules!$C$140="","",Rules!$B$140)</f>
        <v>200</v>
      </c>
      <c r="C139" s="143" t="str">
        <f>IF(Rules!$C$140="","",Rules!$C$140)</f>
        <v>VIRTRU</v>
      </c>
      <c r="D139" s="143" t="str">
        <f>IF(Rules!$C$140="","",Rules!$D$140)</f>
        <v>HIPAA Compliance &amp; Secure Communications</v>
      </c>
      <c r="E139" s="73" t="str">
        <f>IF(Rules!$C$140="","",Rules!$E$140)</f>
        <v>Out</v>
      </c>
      <c r="F139" s="73" t="str">
        <f>IF(Rules!$C$140="","",Rules!$G$140)</f>
        <v>Yes</v>
      </c>
      <c r="G139" s="144">
        <v>140</v>
      </c>
      <c r="H139" s="145" t="str">
        <f>IF(Rules!$C$140="","",TRIM(IF(COUNTIFS(Rules_Key,Rules!$C$140,Rules_Dir,Rules!$E$140)&gt;1,"Duplicate keyword+direction. ","")&amp;IF(LEN(Rules!$C$140)&lt;5,"Keyword under 5 characters - matches too much. ","")&amp;IF(AND(Rules!$D$140&lt;&gt;"",COUNTIF(Cat_Name,Rules!$D$140)=0),"Category is not on the Categories sheet - rows will fall to Review Required. ","")&amp;IF(Rules!$F$140="Broad","Broad scope - deliberately forces Review Required. ","")&amp;IF(Rules!$G$140&lt;&gt;"Yes","Rule is switched OFF. ","")&amp;IF(AND(Rules!$C$140&lt;&gt;"",Rules!$D$140=""),"Keyword with no category. ","")))</f>
        <v/>
      </c>
    </row>
    <row r="140" spans="2:8" x14ac:dyDescent="0.25">
      <c r="B140" s="75">
        <f>IF(Rules!$C$141="","",Rules!$B$141)</f>
        <v>200</v>
      </c>
      <c r="C140" s="146" t="str">
        <f>IF(Rules!$C$141="","",Rules!$C$141)</f>
        <v>SHRED</v>
      </c>
      <c r="D140" s="146" t="str">
        <f>IF(Rules!$C$141="","",Rules!$D$141)</f>
        <v>HIPAA Compliance &amp; Secure Communications</v>
      </c>
      <c r="E140" s="75" t="str">
        <f>IF(Rules!$C$141="","",Rules!$E$141)</f>
        <v>Out</v>
      </c>
      <c r="F140" s="75" t="str">
        <f>IF(Rules!$C$141="","",Rules!$G$141)</f>
        <v>Yes</v>
      </c>
      <c r="G140" s="147">
        <v>141</v>
      </c>
      <c r="H140" s="148" t="str">
        <f>IF(Rules!$C$141="","",TRIM(IF(COUNTIFS(Rules_Key,Rules!$C$141,Rules_Dir,Rules!$E$141)&gt;1,"Duplicate keyword+direction. ","")&amp;IF(LEN(Rules!$C$141)&lt;5,"Keyword under 5 characters - matches too much. ","")&amp;IF(AND(Rules!$D$141&lt;&gt;"",COUNTIF(Cat_Name,Rules!$D$141)=0),"Category is not on the Categories sheet - rows will fall to Review Required. ","")&amp;IF(Rules!$F$141="Broad","Broad scope - deliberately forces Review Required. ","")&amp;IF(Rules!$G$141&lt;&gt;"Yes","Rule is switched OFF. ","")&amp;IF(AND(Rules!$C$141&lt;&gt;"",Rules!$D$141=""),"Keyword with no category. ","")))</f>
        <v/>
      </c>
    </row>
    <row r="141" spans="2:8" x14ac:dyDescent="0.25">
      <c r="B141" s="73">
        <f>IF(Rules!$C$142="","",Rules!$B$142)</f>
        <v>200</v>
      </c>
      <c r="C141" s="143" t="str">
        <f>IF(Rules!$C$142="","",Rules!$C$142)</f>
        <v>MICROSOFT</v>
      </c>
      <c r="D141" s="143" t="str">
        <f>IF(Rules!$C$142="","",Rules!$D$142)</f>
        <v>Software &amp; Subscriptions (General)</v>
      </c>
      <c r="E141" s="73" t="str">
        <f>IF(Rules!$C$142="","",Rules!$E$142)</f>
        <v>Out</v>
      </c>
      <c r="F141" s="73" t="str">
        <f>IF(Rules!$C$142="","",Rules!$G$142)</f>
        <v>Yes</v>
      </c>
      <c r="G141" s="144">
        <v>142</v>
      </c>
      <c r="H141" s="145" t="str">
        <f>IF(Rules!$C$142="","",TRIM(IF(COUNTIFS(Rules_Key,Rules!$C$142,Rules_Dir,Rules!$E$142)&gt;1,"Duplicate keyword+direction. ","")&amp;IF(LEN(Rules!$C$142)&lt;5,"Keyword under 5 characters - matches too much. ","")&amp;IF(AND(Rules!$D$142&lt;&gt;"",COUNTIF(Cat_Name,Rules!$D$142)=0),"Category is not on the Categories sheet - rows will fall to Review Required. ","")&amp;IF(Rules!$F$142="Broad","Broad scope - deliberately forces Review Required. ","")&amp;IF(Rules!$G$142&lt;&gt;"Yes","Rule is switched OFF. ","")&amp;IF(AND(Rules!$C$142&lt;&gt;"",Rules!$D$142=""),"Keyword with no category. ","")))</f>
        <v/>
      </c>
    </row>
    <row r="142" spans="2:8" x14ac:dyDescent="0.25">
      <c r="B142" s="75">
        <f>IF(Rules!$C$143="","",Rules!$B$143)</f>
        <v>200</v>
      </c>
      <c r="C142" s="146" t="str">
        <f>IF(Rules!$C$143="","",Rules!$C$143)</f>
        <v>GOOGLE WORKSPACE</v>
      </c>
      <c r="D142" s="146" t="str">
        <f>IF(Rules!$C$143="","",Rules!$D$143)</f>
        <v>Software &amp; Subscriptions (General)</v>
      </c>
      <c r="E142" s="75" t="str">
        <f>IF(Rules!$C$143="","",Rules!$E$143)</f>
        <v>Out</v>
      </c>
      <c r="F142" s="75" t="str">
        <f>IF(Rules!$C$143="","",Rules!$G$143)</f>
        <v>Yes</v>
      </c>
      <c r="G142" s="147">
        <v>143</v>
      </c>
      <c r="H142" s="148" t="str">
        <f>IF(Rules!$C$143="","",TRIM(IF(COUNTIFS(Rules_Key,Rules!$C$143,Rules_Dir,Rules!$E$143)&gt;1,"Duplicate keyword+direction. ","")&amp;IF(LEN(Rules!$C$143)&lt;5,"Keyword under 5 characters - matches too much. ","")&amp;IF(AND(Rules!$D$143&lt;&gt;"",COUNTIF(Cat_Name,Rules!$D$143)=0),"Category is not on the Categories sheet - rows will fall to Review Required. ","")&amp;IF(Rules!$F$143="Broad","Broad scope - deliberately forces Review Required. ","")&amp;IF(Rules!$G$143&lt;&gt;"Yes","Rule is switched OFF. ","")&amp;IF(AND(Rules!$C$143&lt;&gt;"",Rules!$D$143=""),"Keyword with no category. ","")))</f>
        <v/>
      </c>
    </row>
    <row r="143" spans="2:8" x14ac:dyDescent="0.25">
      <c r="B143" s="73">
        <f>IF(Rules!$C$144="","",Rules!$B$144)</f>
        <v>200</v>
      </c>
      <c r="C143" s="143" t="str">
        <f>IF(Rules!$C$144="","",Rules!$C$144)</f>
        <v>DROPBOX</v>
      </c>
      <c r="D143" s="143" t="str">
        <f>IF(Rules!$C$144="","",Rules!$D$144)</f>
        <v>Software &amp; Subscriptions (General)</v>
      </c>
      <c r="E143" s="73" t="str">
        <f>IF(Rules!$C$144="","",Rules!$E$144)</f>
        <v>Out</v>
      </c>
      <c r="F143" s="73" t="str">
        <f>IF(Rules!$C$144="","",Rules!$G$144)</f>
        <v>Yes</v>
      </c>
      <c r="G143" s="144">
        <v>144</v>
      </c>
      <c r="H143" s="145" t="str">
        <f>IF(Rules!$C$144="","",TRIM(IF(COUNTIFS(Rules_Key,Rules!$C$144,Rules_Dir,Rules!$E$144)&gt;1,"Duplicate keyword+direction. ","")&amp;IF(LEN(Rules!$C$144)&lt;5,"Keyword under 5 characters - matches too much. ","")&amp;IF(AND(Rules!$D$144&lt;&gt;"",COUNTIF(Cat_Name,Rules!$D$144)=0),"Category is not on the Categories sheet - rows will fall to Review Required. ","")&amp;IF(Rules!$F$144="Broad","Broad scope - deliberately forces Review Required. ","")&amp;IF(Rules!$G$144&lt;&gt;"Yes","Rule is switched OFF. ","")&amp;IF(AND(Rules!$C$144&lt;&gt;"",Rules!$D$144=""),"Keyword with no category. ","")))</f>
        <v/>
      </c>
    </row>
    <row r="144" spans="2:8" x14ac:dyDescent="0.25">
      <c r="B144" s="75">
        <f>IF(Rules!$C$145="","",Rules!$B$145)</f>
        <v>200</v>
      </c>
      <c r="C144" s="146" t="str">
        <f>IF(Rules!$C$145="","",Rules!$C$145)</f>
        <v>ADOBE</v>
      </c>
      <c r="D144" s="146" t="str">
        <f>IF(Rules!$C$145="","",Rules!$D$145)</f>
        <v>Software &amp; Subscriptions (General)</v>
      </c>
      <c r="E144" s="75" t="str">
        <f>IF(Rules!$C$145="","",Rules!$E$145)</f>
        <v>Out</v>
      </c>
      <c r="F144" s="75" t="str">
        <f>IF(Rules!$C$145="","",Rules!$G$145)</f>
        <v>Yes</v>
      </c>
      <c r="G144" s="147">
        <v>145</v>
      </c>
      <c r="H144" s="148" t="str">
        <f>IF(Rules!$C$145="","",TRIM(IF(COUNTIFS(Rules_Key,Rules!$C$145,Rules_Dir,Rules!$E$145)&gt;1,"Duplicate keyword+direction. ","")&amp;IF(LEN(Rules!$C$145)&lt;5,"Keyword under 5 characters - matches too much. ","")&amp;IF(AND(Rules!$D$145&lt;&gt;"",COUNTIF(Cat_Name,Rules!$D$145)=0),"Category is not on the Categories sheet - rows will fall to Review Required. ","")&amp;IF(Rules!$F$145="Broad","Broad scope - deliberately forces Review Required. ","")&amp;IF(Rules!$G$145&lt;&gt;"Yes","Rule is switched OFF. ","")&amp;IF(AND(Rules!$C$145&lt;&gt;"",Rules!$D$145=""),"Keyword with no category. ","")))</f>
        <v/>
      </c>
    </row>
    <row r="145" spans="2:8" x14ac:dyDescent="0.25">
      <c r="B145" s="73">
        <f>IF(Rules!$C$146="","",Rules!$B$146)</f>
        <v>200</v>
      </c>
      <c r="C145" s="143" t="str">
        <f>IF(Rules!$C$146="","",Rules!$C$146)</f>
        <v>QUICKBOOKS</v>
      </c>
      <c r="D145" s="143" t="str">
        <f>IF(Rules!$C$146="","",Rules!$D$146)</f>
        <v>Software &amp; Subscriptions (General)</v>
      </c>
      <c r="E145" s="73" t="str">
        <f>IF(Rules!$C$146="","",Rules!$E$146)</f>
        <v>Out</v>
      </c>
      <c r="F145" s="73" t="str">
        <f>IF(Rules!$C$146="","",Rules!$G$146)</f>
        <v>Yes</v>
      </c>
      <c r="G145" s="144">
        <v>146</v>
      </c>
      <c r="H145" s="145" t="str">
        <f>IF(Rules!$C$146="","",TRIM(IF(COUNTIFS(Rules_Key,Rules!$C$146,Rules_Dir,Rules!$E$146)&gt;1,"Duplicate keyword+direction. ","")&amp;IF(LEN(Rules!$C$146)&lt;5,"Keyword under 5 characters - matches too much. ","")&amp;IF(AND(Rules!$D$146&lt;&gt;"",COUNTIF(Cat_Name,Rules!$D$146)=0),"Category is not on the Categories sheet - rows will fall to Review Required. ","")&amp;IF(Rules!$F$146="Broad","Broad scope - deliberately forces Review Required. ","")&amp;IF(Rules!$G$146&lt;&gt;"Yes","Rule is switched OFF. ","")&amp;IF(AND(Rules!$C$146&lt;&gt;"",Rules!$D$146=""),"Keyword with no category. ","")))</f>
        <v/>
      </c>
    </row>
    <row r="146" spans="2:8" x14ac:dyDescent="0.25">
      <c r="B146" s="75">
        <f>IF(Rules!$C$147="","",Rules!$B$147)</f>
        <v>200</v>
      </c>
      <c r="C146" s="146" t="str">
        <f>IF(Rules!$C$147="","",Rules!$C$147)</f>
        <v>DOCTORS COMPANY</v>
      </c>
      <c r="D146" s="146" t="str">
        <f>IF(Rules!$C$147="","",Rules!$D$147)</f>
        <v>Malpractice Insurance</v>
      </c>
      <c r="E146" s="75" t="str">
        <f>IF(Rules!$C$147="","",Rules!$E$147)</f>
        <v>Out</v>
      </c>
      <c r="F146" s="75" t="str">
        <f>IF(Rules!$C$147="","",Rules!$G$147)</f>
        <v>Yes</v>
      </c>
      <c r="G146" s="147">
        <v>147</v>
      </c>
      <c r="H146" s="148" t="str">
        <f>IF(Rules!$C$147="","",TRIM(IF(COUNTIFS(Rules_Key,Rules!$C$147,Rules_Dir,Rules!$E$147)&gt;1,"Duplicate keyword+direction. ","")&amp;IF(LEN(Rules!$C$147)&lt;5,"Keyword under 5 characters - matches too much. ","")&amp;IF(AND(Rules!$D$147&lt;&gt;"",COUNTIF(Cat_Name,Rules!$D$147)=0),"Category is not on the Categories sheet - rows will fall to Review Required. ","")&amp;IF(Rules!$F$147="Broad","Broad scope - deliberately forces Review Required. ","")&amp;IF(Rules!$G$147&lt;&gt;"Yes","Rule is switched OFF. ","")&amp;IF(AND(Rules!$C$147&lt;&gt;"",Rules!$D$147=""),"Keyword with no category. ","")))</f>
        <v/>
      </c>
    </row>
    <row r="147" spans="2:8" x14ac:dyDescent="0.25">
      <c r="B147" s="73">
        <f>IF(Rules!$C$148="","",Rules!$B$148)</f>
        <v>200</v>
      </c>
      <c r="C147" s="143" t="str">
        <f>IF(Rules!$C$148="","",Rules!$C$148)</f>
        <v>MEDPRO</v>
      </c>
      <c r="D147" s="143" t="str">
        <f>IF(Rules!$C$148="","",Rules!$D$148)</f>
        <v>Malpractice Insurance</v>
      </c>
      <c r="E147" s="73" t="str">
        <f>IF(Rules!$C$148="","",Rules!$E$148)</f>
        <v>Out</v>
      </c>
      <c r="F147" s="73" t="str">
        <f>IF(Rules!$C$148="","",Rules!$G$148)</f>
        <v>Yes</v>
      </c>
      <c r="G147" s="144">
        <v>148</v>
      </c>
      <c r="H147" s="145" t="str">
        <f>IF(Rules!$C$148="","",TRIM(IF(COUNTIFS(Rules_Key,Rules!$C$148,Rules_Dir,Rules!$E$148)&gt;1,"Duplicate keyword+direction. ","")&amp;IF(LEN(Rules!$C$148)&lt;5,"Keyword under 5 characters - matches too much. ","")&amp;IF(AND(Rules!$D$148&lt;&gt;"",COUNTIF(Cat_Name,Rules!$D$148)=0),"Category is not on the Categories sheet - rows will fall to Review Required. ","")&amp;IF(Rules!$F$148="Broad","Broad scope - deliberately forces Review Required. ","")&amp;IF(Rules!$G$148&lt;&gt;"Yes","Rule is switched OFF. ","")&amp;IF(AND(Rules!$C$148&lt;&gt;"",Rules!$D$148=""),"Keyword with no category. ","")))</f>
        <v/>
      </c>
    </row>
    <row r="148" spans="2:8" x14ac:dyDescent="0.25">
      <c r="B148" s="75">
        <f>IF(Rules!$C$149="","",Rules!$B$149)</f>
        <v>200</v>
      </c>
      <c r="C148" s="146" t="str">
        <f>IF(Rules!$C$149="","",Rules!$C$149)</f>
        <v>PROASSURANCE</v>
      </c>
      <c r="D148" s="146" t="str">
        <f>IF(Rules!$C$149="","",Rules!$D$149)</f>
        <v>Malpractice Insurance</v>
      </c>
      <c r="E148" s="75" t="str">
        <f>IF(Rules!$C$149="","",Rules!$E$149)</f>
        <v>Out</v>
      </c>
      <c r="F148" s="75" t="str">
        <f>IF(Rules!$C$149="","",Rules!$G$149)</f>
        <v>Yes</v>
      </c>
      <c r="G148" s="147">
        <v>149</v>
      </c>
      <c r="H148" s="148" t="str">
        <f>IF(Rules!$C$149="","",TRIM(IF(COUNTIFS(Rules_Key,Rules!$C$149,Rules_Dir,Rules!$E$149)&gt;1,"Duplicate keyword+direction. ","")&amp;IF(LEN(Rules!$C$149)&lt;5,"Keyword under 5 characters - matches too much. ","")&amp;IF(AND(Rules!$D$149&lt;&gt;"",COUNTIF(Cat_Name,Rules!$D$149)=0),"Category is not on the Categories sheet - rows will fall to Review Required. ","")&amp;IF(Rules!$F$149="Broad","Broad scope - deliberately forces Review Required. ","")&amp;IF(Rules!$G$149&lt;&gt;"Yes","Rule is switched OFF. ","")&amp;IF(AND(Rules!$C$149&lt;&gt;"",Rules!$D$149=""),"Keyword with no category. ","")))</f>
        <v/>
      </c>
    </row>
    <row r="149" spans="2:8" x14ac:dyDescent="0.25">
      <c r="B149" s="73">
        <f>IF(Rules!$C$150="","",Rules!$B$150)</f>
        <v>200</v>
      </c>
      <c r="C149" s="143" t="str">
        <f>IF(Rules!$C$150="","",Rules!$C$150)</f>
        <v>NCMIC</v>
      </c>
      <c r="D149" s="143" t="str">
        <f>IF(Rules!$C$150="","",Rules!$D$150)</f>
        <v>Malpractice Insurance</v>
      </c>
      <c r="E149" s="73" t="str">
        <f>IF(Rules!$C$150="","",Rules!$E$150)</f>
        <v>Out</v>
      </c>
      <c r="F149" s="73" t="str">
        <f>IF(Rules!$C$150="","",Rules!$G$150)</f>
        <v>Yes</v>
      </c>
      <c r="G149" s="144">
        <v>150</v>
      </c>
      <c r="H149" s="145" t="str">
        <f>IF(Rules!$C$150="","",TRIM(IF(COUNTIFS(Rules_Key,Rules!$C$150,Rules_Dir,Rules!$E$150)&gt;1,"Duplicate keyword+direction. ","")&amp;IF(LEN(Rules!$C$150)&lt;5,"Keyword under 5 characters - matches too much. ","")&amp;IF(AND(Rules!$D$150&lt;&gt;"",COUNTIF(Cat_Name,Rules!$D$150)=0),"Category is not on the Categories sheet - rows will fall to Review Required. ","")&amp;IF(Rules!$F$150="Broad","Broad scope - deliberately forces Review Required. ","")&amp;IF(Rules!$G$150&lt;&gt;"Yes","Rule is switched OFF. ","")&amp;IF(AND(Rules!$C$150&lt;&gt;"",Rules!$D$150=""),"Keyword with no category. ","")))</f>
        <v/>
      </c>
    </row>
    <row r="150" spans="2:8" x14ac:dyDescent="0.25">
      <c r="B150" s="75">
        <f>IF(Rules!$C$151="","",Rules!$B$151)</f>
        <v>200</v>
      </c>
      <c r="C150" s="146" t="str">
        <f>IF(Rules!$C$151="","",Rules!$C$151)</f>
        <v>MALPRACTICE</v>
      </c>
      <c r="D150" s="146" t="str">
        <f>IF(Rules!$C$151="","",Rules!$D$151)</f>
        <v>Malpractice Insurance</v>
      </c>
      <c r="E150" s="75" t="str">
        <f>IF(Rules!$C$151="","",Rules!$E$151)</f>
        <v>Out</v>
      </c>
      <c r="F150" s="75" t="str">
        <f>IF(Rules!$C$151="","",Rules!$G$151)</f>
        <v>Yes</v>
      </c>
      <c r="G150" s="147">
        <v>151</v>
      </c>
      <c r="H150" s="148" t="str">
        <f>IF(Rules!$C$151="","",TRIM(IF(COUNTIFS(Rules_Key,Rules!$C$151,Rules_Dir,Rules!$E$151)&gt;1,"Duplicate keyword+direction. ","")&amp;IF(LEN(Rules!$C$151)&lt;5,"Keyword under 5 characters - matches too much. ","")&amp;IF(AND(Rules!$D$151&lt;&gt;"",COUNTIF(Cat_Name,Rules!$D$151)=0),"Category is not on the Categories sheet - rows will fall to Review Required. ","")&amp;IF(Rules!$F$151="Broad","Broad scope - deliberately forces Review Required. ","")&amp;IF(Rules!$G$151&lt;&gt;"Yes","Rule is switched OFF. ","")&amp;IF(AND(Rules!$C$151&lt;&gt;"",Rules!$D$151=""),"Keyword with no category. ","")))</f>
        <v/>
      </c>
    </row>
    <row r="151" spans="2:8" x14ac:dyDescent="0.25">
      <c r="B151" s="73">
        <f>IF(Rules!$C$152="","",Rules!$B$152)</f>
        <v>200</v>
      </c>
      <c r="C151" s="143" t="str">
        <f>IF(Rules!$C$152="","",Rules!$C$152)</f>
        <v>TDIC</v>
      </c>
      <c r="D151" s="143" t="str">
        <f>IF(Rules!$C$152="","",Rules!$D$152)</f>
        <v>Malpractice Insurance</v>
      </c>
      <c r="E151" s="73" t="str">
        <f>IF(Rules!$C$152="","",Rules!$E$152)</f>
        <v>Out</v>
      </c>
      <c r="F151" s="73" t="str">
        <f>IF(Rules!$C$152="","",Rules!$G$152)</f>
        <v>Yes</v>
      </c>
      <c r="G151" s="144">
        <v>152</v>
      </c>
      <c r="H151" s="145" t="str">
        <f>IF(Rules!$C$152="","",TRIM(IF(COUNTIFS(Rules_Key,Rules!$C$152,Rules_Dir,Rules!$E$152)&gt;1,"Duplicate keyword+direction. ","")&amp;IF(LEN(Rules!$C$152)&lt;5,"Keyword under 5 characters - matches too much. ","")&amp;IF(AND(Rules!$D$152&lt;&gt;"",COUNTIF(Cat_Name,Rules!$D$152)=0),"Category is not on the Categories sheet - rows will fall to Review Required. ","")&amp;IF(Rules!$F$152="Broad","Broad scope - deliberately forces Review Required. ","")&amp;IF(Rules!$G$152&lt;&gt;"Yes","Rule is switched OFF. ","")&amp;IF(AND(Rules!$C$152&lt;&gt;"",Rules!$D$152=""),"Keyword with no category. ","")))</f>
        <v>Keyword under 5 characters - matches too much.</v>
      </c>
    </row>
    <row r="152" spans="2:8" x14ac:dyDescent="0.25">
      <c r="B152" s="75">
        <f>IF(Rules!$C$153="","",Rules!$B$153)</f>
        <v>200</v>
      </c>
      <c r="C152" s="146" t="str">
        <f>IF(Rules!$C$153="","",Rules!$C$153)</f>
        <v>DENTISTS INS</v>
      </c>
      <c r="D152" s="146" t="str">
        <f>IF(Rules!$C$153="","",Rules!$D$153)</f>
        <v>Malpractice Insurance</v>
      </c>
      <c r="E152" s="75" t="str">
        <f>IF(Rules!$C$153="","",Rules!$E$153)</f>
        <v>Out</v>
      </c>
      <c r="F152" s="75" t="str">
        <f>IF(Rules!$C$153="","",Rules!$G$153)</f>
        <v>Yes</v>
      </c>
      <c r="G152" s="147">
        <v>153</v>
      </c>
      <c r="H152" s="148" t="str">
        <f>IF(Rules!$C$153="","",TRIM(IF(COUNTIFS(Rules_Key,Rules!$C$153,Rules_Dir,Rules!$E$153)&gt;1,"Duplicate keyword+direction. ","")&amp;IF(LEN(Rules!$C$153)&lt;5,"Keyword under 5 characters - matches too much. ","")&amp;IF(AND(Rules!$D$153&lt;&gt;"",COUNTIF(Cat_Name,Rules!$D$153)=0),"Category is not on the Categories sheet - rows will fall to Review Required. ","")&amp;IF(Rules!$F$153="Broad","Broad scope - deliberately forces Review Required. ","")&amp;IF(Rules!$G$153&lt;&gt;"Yes","Rule is switched OFF. ","")&amp;IF(AND(Rules!$C$153&lt;&gt;"",Rules!$D$153=""),"Keyword with no category. ","")))</f>
        <v/>
      </c>
    </row>
    <row r="153" spans="2:8" x14ac:dyDescent="0.25">
      <c r="B153" s="73">
        <f>IF(Rules!$C$154="","",Rules!$B$154)</f>
        <v>200</v>
      </c>
      <c r="C153" s="143" t="str">
        <f>IF(Rules!$C$154="","",Rules!$C$154)</f>
        <v>OMS NATIONAL</v>
      </c>
      <c r="D153" s="143" t="str">
        <f>IF(Rules!$C$154="","",Rules!$D$154)</f>
        <v>Malpractice Insurance</v>
      </c>
      <c r="E153" s="73" t="str">
        <f>IF(Rules!$C$154="","",Rules!$E$154)</f>
        <v>Out</v>
      </c>
      <c r="F153" s="73" t="str">
        <f>IF(Rules!$C$154="","",Rules!$G$154)</f>
        <v>Yes</v>
      </c>
      <c r="G153" s="144">
        <v>154</v>
      </c>
      <c r="H153" s="145" t="str">
        <f>IF(Rules!$C$154="","",TRIM(IF(COUNTIFS(Rules_Key,Rules!$C$154,Rules_Dir,Rules!$E$154)&gt;1,"Duplicate keyword+direction. ","")&amp;IF(LEN(Rules!$C$154)&lt;5,"Keyword under 5 characters - matches too much. ","")&amp;IF(AND(Rules!$D$154&lt;&gt;"",COUNTIF(Cat_Name,Rules!$D$154)=0),"Category is not on the Categories sheet - rows will fall to Review Required. ","")&amp;IF(Rules!$F$154="Broad","Broad scope - deliberately forces Review Required. ","")&amp;IF(Rules!$G$154&lt;&gt;"Yes","Rule is switched OFF. ","")&amp;IF(AND(Rules!$C$154&lt;&gt;"",Rules!$D$154=""),"Keyword with no category. ","")))</f>
        <v/>
      </c>
    </row>
    <row r="154" spans="2:8" x14ac:dyDescent="0.25">
      <c r="B154" s="75">
        <f>IF(Rules!$C$155="","",Rules!$B$155)</f>
        <v>200</v>
      </c>
      <c r="C154" s="146" t="str">
        <f>IF(Rules!$C$155="","",Rules!$C$155)</f>
        <v>CNA INSURANCE</v>
      </c>
      <c r="D154" s="146" t="str">
        <f>IF(Rules!$C$155="","",Rules!$D$155)</f>
        <v>Malpractice Insurance</v>
      </c>
      <c r="E154" s="75" t="str">
        <f>IF(Rules!$C$155="","",Rules!$E$155)</f>
        <v>Out</v>
      </c>
      <c r="F154" s="75" t="str">
        <f>IF(Rules!$C$155="","",Rules!$G$155)</f>
        <v>Yes</v>
      </c>
      <c r="G154" s="147">
        <v>155</v>
      </c>
      <c r="H154" s="148" t="str">
        <f>IF(Rules!$C$155="","",TRIM(IF(COUNTIFS(Rules_Key,Rules!$C$155,Rules_Dir,Rules!$E$155)&gt;1,"Duplicate keyword+direction. ","")&amp;IF(LEN(Rules!$C$155)&lt;5,"Keyword under 5 characters - matches too much. ","")&amp;IF(AND(Rules!$D$155&lt;&gt;"",COUNTIF(Cat_Name,Rules!$D$155)=0),"Category is not on the Categories sheet - rows will fall to Review Required. ","")&amp;IF(Rules!$F$155="Broad","Broad scope - deliberately forces Review Required. ","")&amp;IF(Rules!$G$155&lt;&gt;"Yes","Rule is switched OFF. ","")&amp;IF(AND(Rules!$C$155&lt;&gt;"",Rules!$D$155=""),"Keyword with no category. ","")))</f>
        <v/>
      </c>
    </row>
    <row r="155" spans="2:8" x14ac:dyDescent="0.25">
      <c r="B155" s="73">
        <f>IF(Rules!$C$156="","",Rules!$B$156)</f>
        <v>200</v>
      </c>
      <c r="C155" s="143" t="str">
        <f>IF(Rules!$C$156="","",Rules!$C$156)</f>
        <v>WORKERS COMP</v>
      </c>
      <c r="D155" s="143" t="str">
        <f>IF(Rules!$C$156="","",Rules!$D$156)</f>
        <v>Workers' Compensation Insurance</v>
      </c>
      <c r="E155" s="73" t="str">
        <f>IF(Rules!$C$156="","",Rules!$E$156)</f>
        <v>Out</v>
      </c>
      <c r="F155" s="73" t="str">
        <f>IF(Rules!$C$156="","",Rules!$G$156)</f>
        <v>Yes</v>
      </c>
      <c r="G155" s="144">
        <v>156</v>
      </c>
      <c r="H155" s="145" t="str">
        <f>IF(Rules!$C$156="","",TRIM(IF(COUNTIFS(Rules_Key,Rules!$C$156,Rules_Dir,Rules!$E$156)&gt;1,"Duplicate keyword+direction. ","")&amp;IF(LEN(Rules!$C$156)&lt;5,"Keyword under 5 characters - matches too much. ","")&amp;IF(AND(Rules!$D$156&lt;&gt;"",COUNTIF(Cat_Name,Rules!$D$156)=0),"Category is not on the Categories sheet - rows will fall to Review Required. ","")&amp;IF(Rules!$F$156="Broad","Broad scope - deliberately forces Review Required. ","")&amp;IF(Rules!$G$156&lt;&gt;"Yes","Rule is switched OFF. ","")&amp;IF(AND(Rules!$C$156&lt;&gt;"",Rules!$D$156=""),"Keyword with no category. ","")))</f>
        <v/>
      </c>
    </row>
    <row r="156" spans="2:8" x14ac:dyDescent="0.25">
      <c r="B156" s="75">
        <f>IF(Rules!$C$157="","",Rules!$B$157)</f>
        <v>200</v>
      </c>
      <c r="C156" s="146" t="str">
        <f>IF(Rules!$C$157="","",Rules!$C$157)</f>
        <v>MEDICAL BOARD</v>
      </c>
      <c r="D156" s="146" t="str">
        <f>IF(Rules!$C$157="","",Rules!$D$157)</f>
        <v>Professional Licenses - State Board</v>
      </c>
      <c r="E156" s="75" t="str">
        <f>IF(Rules!$C$157="","",Rules!$E$157)</f>
        <v>Out</v>
      </c>
      <c r="F156" s="75" t="str">
        <f>IF(Rules!$C$157="","",Rules!$G$157)</f>
        <v>Yes</v>
      </c>
      <c r="G156" s="147">
        <v>157</v>
      </c>
      <c r="H156" s="148" t="str">
        <f>IF(Rules!$C$157="","",TRIM(IF(COUNTIFS(Rules_Key,Rules!$C$157,Rules_Dir,Rules!$E$157)&gt;1,"Duplicate keyword+direction. ","")&amp;IF(LEN(Rules!$C$157)&lt;5,"Keyword under 5 characters - matches too much. ","")&amp;IF(AND(Rules!$D$157&lt;&gt;"",COUNTIF(Cat_Name,Rules!$D$157)=0),"Category is not on the Categories sheet - rows will fall to Review Required. ","")&amp;IF(Rules!$F$157="Broad","Broad scope - deliberately forces Review Required. ","")&amp;IF(Rules!$G$157&lt;&gt;"Yes","Rule is switched OFF. ","")&amp;IF(AND(Rules!$C$157&lt;&gt;"",Rules!$D$157=""),"Keyword with no category. ","")))</f>
        <v/>
      </c>
    </row>
    <row r="157" spans="2:8" x14ac:dyDescent="0.25">
      <c r="B157" s="73">
        <f>IF(Rules!$C$158="","",Rules!$B$158)</f>
        <v>200</v>
      </c>
      <c r="C157" s="143" t="str">
        <f>IF(Rules!$C$158="","",Rules!$C$158)</f>
        <v>DENTAL BOARD</v>
      </c>
      <c r="D157" s="143" t="str">
        <f>IF(Rules!$C$158="","",Rules!$D$158)</f>
        <v>Professional Licenses - State Board</v>
      </c>
      <c r="E157" s="73" t="str">
        <f>IF(Rules!$C$158="","",Rules!$E$158)</f>
        <v>Out</v>
      </c>
      <c r="F157" s="73" t="str">
        <f>IF(Rules!$C$158="","",Rules!$G$158)</f>
        <v>Yes</v>
      </c>
      <c r="G157" s="144">
        <v>158</v>
      </c>
      <c r="H157" s="145" t="str">
        <f>IF(Rules!$C$158="","",TRIM(IF(COUNTIFS(Rules_Key,Rules!$C$158,Rules_Dir,Rules!$E$158)&gt;1,"Duplicate keyword+direction. ","")&amp;IF(LEN(Rules!$C$158)&lt;5,"Keyword under 5 characters - matches too much. ","")&amp;IF(AND(Rules!$D$158&lt;&gt;"",COUNTIF(Cat_Name,Rules!$D$158)=0),"Category is not on the Categories sheet - rows will fall to Review Required. ","")&amp;IF(Rules!$F$158="Broad","Broad scope - deliberately forces Review Required. ","")&amp;IF(Rules!$G$158&lt;&gt;"Yes","Rule is switched OFF. ","")&amp;IF(AND(Rules!$C$158&lt;&gt;"",Rules!$D$158=""),"Keyword with no category. ","")))</f>
        <v/>
      </c>
    </row>
    <row r="158" spans="2:8" x14ac:dyDescent="0.25">
      <c r="B158" s="75">
        <f>IF(Rules!$C$159="","",Rules!$B$159)</f>
        <v>200</v>
      </c>
      <c r="C158" s="146" t="str">
        <f>IF(Rules!$C$159="","",Rules!$C$159)</f>
        <v>LICENSE RENEW</v>
      </c>
      <c r="D158" s="146" t="str">
        <f>IF(Rules!$C$159="","",Rules!$D$159)</f>
        <v>Professional Licenses - State Board</v>
      </c>
      <c r="E158" s="75" t="str">
        <f>IF(Rules!$C$159="","",Rules!$E$159)</f>
        <v>Out</v>
      </c>
      <c r="F158" s="75" t="str">
        <f>IF(Rules!$C$159="","",Rules!$G$159)</f>
        <v>Yes</v>
      </c>
      <c r="G158" s="147">
        <v>159</v>
      </c>
      <c r="H158" s="148" t="str">
        <f>IF(Rules!$C$159="","",TRIM(IF(COUNTIFS(Rules_Key,Rules!$C$159,Rules_Dir,Rules!$E$159)&gt;1,"Duplicate keyword+direction. ","")&amp;IF(LEN(Rules!$C$159)&lt;5,"Keyword under 5 characters - matches too much. ","")&amp;IF(AND(Rules!$D$159&lt;&gt;"",COUNTIF(Cat_Name,Rules!$D$159)=0),"Category is not on the Categories sheet - rows will fall to Review Required. ","")&amp;IF(Rules!$F$159="Broad","Broad scope - deliberately forces Review Required. ","")&amp;IF(Rules!$G$159&lt;&gt;"Yes","Rule is switched OFF. ","")&amp;IF(AND(Rules!$C$159&lt;&gt;"",Rules!$D$159=""),"Keyword with no category. ","")))</f>
        <v/>
      </c>
    </row>
    <row r="159" spans="2:8" x14ac:dyDescent="0.25">
      <c r="B159" s="73">
        <f>IF(Rules!$C$160="","",Rules!$B$160)</f>
        <v>200</v>
      </c>
      <c r="C159" s="143" t="str">
        <f>IF(Rules!$C$160="","",Rules!$C$160)</f>
        <v>STATE BOARD DENTAL</v>
      </c>
      <c r="D159" s="143" t="str">
        <f>IF(Rules!$C$160="","",Rules!$D$160)</f>
        <v>Professional Licenses - State Board</v>
      </c>
      <c r="E159" s="73" t="str">
        <f>IF(Rules!$C$160="","",Rules!$E$160)</f>
        <v>Out</v>
      </c>
      <c r="F159" s="73" t="str">
        <f>IF(Rules!$C$160="","",Rules!$G$160)</f>
        <v>Yes</v>
      </c>
      <c r="G159" s="144">
        <v>160</v>
      </c>
      <c r="H159" s="145" t="str">
        <f>IF(Rules!$C$160="","",TRIM(IF(COUNTIFS(Rules_Key,Rules!$C$160,Rules_Dir,Rules!$E$160)&gt;1,"Duplicate keyword+direction. ","")&amp;IF(LEN(Rules!$C$160)&lt;5,"Keyword under 5 characters - matches too much. ","")&amp;IF(AND(Rules!$D$160&lt;&gt;"",COUNTIF(Cat_Name,Rules!$D$160)=0),"Category is not on the Categories sheet - rows will fall to Review Required. ","")&amp;IF(Rules!$F$160="Broad","Broad scope - deliberately forces Review Required. ","")&amp;IF(Rules!$G$160&lt;&gt;"Yes","Rule is switched OFF. ","")&amp;IF(AND(Rules!$C$160&lt;&gt;"",Rules!$D$160=""),"Keyword with no category. ","")))</f>
        <v/>
      </c>
    </row>
    <row r="160" spans="2:8" x14ac:dyDescent="0.25">
      <c r="B160" s="75">
        <f>IF(Rules!$C$161="","",Rules!$B$161)</f>
        <v>200</v>
      </c>
      <c r="C160" s="146" t="str">
        <f>IF(Rules!$C$161="","",Rules!$C$161)</f>
        <v>BOARD DENTAL EXAM</v>
      </c>
      <c r="D160" s="146" t="str">
        <f>IF(Rules!$C$161="","",Rules!$D$161)</f>
        <v>Professional Licenses - State Board</v>
      </c>
      <c r="E160" s="75" t="str">
        <f>IF(Rules!$C$161="","",Rules!$E$161)</f>
        <v>Out</v>
      </c>
      <c r="F160" s="75" t="str">
        <f>IF(Rules!$C$161="","",Rules!$G$161)</f>
        <v>Yes</v>
      </c>
      <c r="G160" s="147">
        <v>161</v>
      </c>
      <c r="H160" s="148" t="str">
        <f>IF(Rules!$C$161="","",TRIM(IF(COUNTIFS(Rules_Key,Rules!$C$161,Rules_Dir,Rules!$E$161)&gt;1,"Duplicate keyword+direction. ","")&amp;IF(LEN(Rules!$C$161)&lt;5,"Keyword under 5 characters - matches too much. ","")&amp;IF(AND(Rules!$D$161&lt;&gt;"",COUNTIF(Cat_Name,Rules!$D$161)=0),"Category is not on the Categories sheet - rows will fall to Review Required. ","")&amp;IF(Rules!$F$161="Broad","Broad scope - deliberately forces Review Required. ","")&amp;IF(Rules!$G$161&lt;&gt;"Yes","Rule is switched OFF. ","")&amp;IF(AND(Rules!$C$161&lt;&gt;"",Rules!$D$161=""),"Keyword with no category. ","")))</f>
        <v/>
      </c>
    </row>
    <row r="161" spans="2:8" x14ac:dyDescent="0.25">
      <c r="B161" s="73">
        <f>IF(Rules!$C$162="","",Rules!$B$162)</f>
        <v>200</v>
      </c>
      <c r="C161" s="143" t="str">
        <f>IF(Rules!$C$162="","",Rules!$C$162)</f>
        <v>BOARD OF NURSING</v>
      </c>
      <c r="D161" s="143" t="str">
        <f>IF(Rules!$C$162="","",Rules!$D$162)</f>
        <v>Professional Licenses - State Board</v>
      </c>
      <c r="E161" s="73" t="str">
        <f>IF(Rules!$C$162="","",Rules!$E$162)</f>
        <v>Out</v>
      </c>
      <c r="F161" s="73" t="str">
        <f>IF(Rules!$C$162="","",Rules!$G$162)</f>
        <v>Yes</v>
      </c>
      <c r="G161" s="144">
        <v>162</v>
      </c>
      <c r="H161" s="145" t="str">
        <f>IF(Rules!$C$162="","",TRIM(IF(COUNTIFS(Rules_Key,Rules!$C$162,Rules_Dir,Rules!$E$162)&gt;1,"Duplicate keyword+direction. ","")&amp;IF(LEN(Rules!$C$162)&lt;5,"Keyword under 5 characters - matches too much. ","")&amp;IF(AND(Rules!$D$162&lt;&gt;"",COUNTIF(Cat_Name,Rules!$D$162)=0),"Category is not on the Categories sheet - rows will fall to Review Required. ","")&amp;IF(Rules!$F$162="Broad","Broad scope - deliberately forces Review Required. ","")&amp;IF(Rules!$G$162&lt;&gt;"Yes","Rule is switched OFF. ","")&amp;IF(AND(Rules!$C$162&lt;&gt;"",Rules!$D$162=""),"Keyword with no category. ","")))</f>
        <v/>
      </c>
    </row>
    <row r="162" spans="2:8" x14ac:dyDescent="0.25">
      <c r="B162" s="75">
        <f>IF(Rules!$C$163="","",Rules!$B$163)</f>
        <v>200</v>
      </c>
      <c r="C162" s="146" t="str">
        <f>IF(Rules!$C$163="","",Rules!$C$163)</f>
        <v>STATE BOARD OF PHARMACY</v>
      </c>
      <c r="D162" s="146" t="str">
        <f>IF(Rules!$C$163="","",Rules!$D$163)</f>
        <v>Professional Licenses - State Board</v>
      </c>
      <c r="E162" s="75" t="str">
        <f>IF(Rules!$C$163="","",Rules!$E$163)</f>
        <v>Out</v>
      </c>
      <c r="F162" s="75" t="str">
        <f>IF(Rules!$C$163="","",Rules!$G$163)</f>
        <v>Yes</v>
      </c>
      <c r="G162" s="147">
        <v>163</v>
      </c>
      <c r="H162" s="148" t="str">
        <f>IF(Rules!$C$163="","",TRIM(IF(COUNTIFS(Rules_Key,Rules!$C$163,Rules_Dir,Rules!$E$163)&gt;1,"Duplicate keyword+direction. ","")&amp;IF(LEN(Rules!$C$163)&lt;5,"Keyword under 5 characters - matches too much. ","")&amp;IF(AND(Rules!$D$163&lt;&gt;"",COUNTIF(Cat_Name,Rules!$D$163)=0),"Category is not on the Categories sheet - rows will fall to Review Required. ","")&amp;IF(Rules!$F$163="Broad","Broad scope - deliberately forces Review Required. ","")&amp;IF(Rules!$G$163&lt;&gt;"Yes","Rule is switched OFF. ","")&amp;IF(AND(Rules!$C$163&lt;&gt;"",Rules!$D$163=""),"Keyword with no category. ","")))</f>
        <v/>
      </c>
    </row>
    <row r="163" spans="2:8" x14ac:dyDescent="0.25">
      <c r="B163" s="73">
        <f>IF(Rules!$C$164="","",Rules!$B$164)</f>
        <v>200</v>
      </c>
      <c r="C163" s="143" t="str">
        <f>IF(Rules!$C$164="","",Rules!$C$164)</f>
        <v xml:space="preserve">DEA </v>
      </c>
      <c r="D163" s="143" t="str">
        <f>IF(Rules!$C$164="","",Rules!$D$164)</f>
        <v>DEA Registration &amp; Controlled Substance Fees</v>
      </c>
      <c r="E163" s="73" t="str">
        <f>IF(Rules!$C$164="","",Rules!$E$164)</f>
        <v>Out</v>
      </c>
      <c r="F163" s="73" t="str">
        <f>IF(Rules!$C$164="","",Rules!$G$164)</f>
        <v>Yes</v>
      </c>
      <c r="G163" s="144">
        <v>164</v>
      </c>
      <c r="H163" s="145" t="str">
        <f>IF(Rules!$C$164="","",TRIM(IF(COUNTIFS(Rules_Key,Rules!$C$164,Rules_Dir,Rules!$E$164)&gt;1,"Duplicate keyword+direction. ","")&amp;IF(LEN(Rules!$C$164)&lt;5,"Keyword under 5 characters - matches too much. ","")&amp;IF(AND(Rules!$D$164&lt;&gt;"",COUNTIF(Cat_Name,Rules!$D$164)=0),"Category is not on the Categories sheet - rows will fall to Review Required. ","")&amp;IF(Rules!$F$164="Broad","Broad scope - deliberately forces Review Required. ","")&amp;IF(Rules!$G$164&lt;&gt;"Yes","Rule is switched OFF. ","")&amp;IF(AND(Rules!$C$164&lt;&gt;"",Rules!$D$164=""),"Keyword with no category. ","")))</f>
        <v>Keyword under 5 characters - matches too much.</v>
      </c>
    </row>
    <row r="164" spans="2:8" x14ac:dyDescent="0.25">
      <c r="B164" s="75">
        <f>IF(Rules!$C$165="","",Rules!$B$165)</f>
        <v>200</v>
      </c>
      <c r="C164" s="146" t="str">
        <f>IF(Rules!$C$165="","",Rules!$C$165)</f>
        <v>DIVERSION CONTROL</v>
      </c>
      <c r="D164" s="146" t="str">
        <f>IF(Rules!$C$165="","",Rules!$D$165)</f>
        <v>DEA Registration &amp; Controlled Substance Fees</v>
      </c>
      <c r="E164" s="75" t="str">
        <f>IF(Rules!$C$165="","",Rules!$E$165)</f>
        <v>Out</v>
      </c>
      <c r="F164" s="75" t="str">
        <f>IF(Rules!$C$165="","",Rules!$G$165)</f>
        <v>Yes</v>
      </c>
      <c r="G164" s="147">
        <v>165</v>
      </c>
      <c r="H164" s="148" t="str">
        <f>IF(Rules!$C$165="","",TRIM(IF(COUNTIFS(Rules_Key,Rules!$C$165,Rules_Dir,Rules!$E$165)&gt;1,"Duplicate keyword+direction. ","")&amp;IF(LEN(Rules!$C$165)&lt;5,"Keyword under 5 characters - matches too much. ","")&amp;IF(AND(Rules!$D$165&lt;&gt;"",COUNTIF(Cat_Name,Rules!$D$165)=0),"Category is not on the Categories sheet - rows will fall to Review Required. ","")&amp;IF(Rules!$F$165="Broad","Broad scope - deliberately forces Review Required. ","")&amp;IF(Rules!$G$165&lt;&gt;"Yes","Rule is switched OFF. ","")&amp;IF(AND(Rules!$C$165&lt;&gt;"",Rules!$D$165=""),"Keyword with no category. ","")))</f>
        <v/>
      </c>
    </row>
    <row r="165" spans="2:8" x14ac:dyDescent="0.25">
      <c r="B165" s="73">
        <f>IF(Rules!$C$166="","",Rules!$B$166)</f>
        <v>200</v>
      </c>
      <c r="C165" s="143" t="str">
        <f>IF(Rules!$C$166="","",Rules!$C$166)</f>
        <v>CAQH</v>
      </c>
      <c r="D165" s="143" t="str">
        <f>IF(Rules!$C$166="","",Rules!$D$166)</f>
        <v>Hospital Privileges &amp; Credentialing</v>
      </c>
      <c r="E165" s="73" t="str">
        <f>IF(Rules!$C$166="","",Rules!$E$166)</f>
        <v>Out</v>
      </c>
      <c r="F165" s="73" t="str">
        <f>IF(Rules!$C$166="","",Rules!$G$166)</f>
        <v>Yes</v>
      </c>
      <c r="G165" s="144">
        <v>166</v>
      </c>
      <c r="H165" s="145" t="str">
        <f>IF(Rules!$C$166="","",TRIM(IF(COUNTIFS(Rules_Key,Rules!$C$166,Rules_Dir,Rules!$E$166)&gt;1,"Duplicate keyword+direction. ","")&amp;IF(LEN(Rules!$C$166)&lt;5,"Keyword under 5 characters - matches too much. ","")&amp;IF(AND(Rules!$D$166&lt;&gt;"",COUNTIF(Cat_Name,Rules!$D$166)=0),"Category is not on the Categories sheet - rows will fall to Review Required. ","")&amp;IF(Rules!$F$166="Broad","Broad scope - deliberately forces Review Required. ","")&amp;IF(Rules!$G$166&lt;&gt;"Yes","Rule is switched OFF. ","")&amp;IF(AND(Rules!$C$166&lt;&gt;"",Rules!$D$166=""),"Keyword with no category. ","")))</f>
        <v>Keyword under 5 characters - matches too much.</v>
      </c>
    </row>
    <row r="166" spans="2:8" x14ac:dyDescent="0.25">
      <c r="B166" s="75">
        <f>IF(Rules!$C$167="","",Rules!$B$167)</f>
        <v>200</v>
      </c>
      <c r="C166" s="146" t="str">
        <f>IF(Rules!$C$167="","",Rules!$C$167)</f>
        <v>CREDENTIAL</v>
      </c>
      <c r="D166" s="146" t="str">
        <f>IF(Rules!$C$167="","",Rules!$D$167)</f>
        <v>Hospital Privileges &amp; Credentialing</v>
      </c>
      <c r="E166" s="75" t="str">
        <f>IF(Rules!$C$167="","",Rules!$E$167)</f>
        <v>Out</v>
      </c>
      <c r="F166" s="75" t="str">
        <f>IF(Rules!$C$167="","",Rules!$G$167)</f>
        <v>Yes</v>
      </c>
      <c r="G166" s="147">
        <v>167</v>
      </c>
      <c r="H166" s="148" t="str">
        <f>IF(Rules!$C$167="","",TRIM(IF(COUNTIFS(Rules_Key,Rules!$C$167,Rules_Dir,Rules!$E$167)&gt;1,"Duplicate keyword+direction. ","")&amp;IF(LEN(Rules!$C$167)&lt;5,"Keyword under 5 characters - matches too much. ","")&amp;IF(AND(Rules!$D$167&lt;&gt;"",COUNTIF(Cat_Name,Rules!$D$167)=0),"Category is not on the Categories sheet - rows will fall to Review Required. ","")&amp;IF(Rules!$F$167="Broad","Broad scope - deliberately forces Review Required. ","")&amp;IF(Rules!$G$167&lt;&gt;"Yes","Rule is switched OFF. ","")&amp;IF(AND(Rules!$C$167&lt;&gt;"",Rules!$D$167=""),"Keyword with no category. ","")))</f>
        <v/>
      </c>
    </row>
    <row r="167" spans="2:8" x14ac:dyDescent="0.25">
      <c r="B167" s="73">
        <f>IF(Rules!$C$168="","",Rules!$B$168)</f>
        <v>200</v>
      </c>
      <c r="C167" s="143" t="str">
        <f>IF(Rules!$C$168="","",Rules!$C$168)</f>
        <v>AMERICAN MEDICAL</v>
      </c>
      <c r="D167" s="143" t="str">
        <f>IF(Rules!$C$168="","",Rules!$D$168)</f>
        <v>Professional Memberships &amp; Dues</v>
      </c>
      <c r="E167" s="73" t="str">
        <f>IF(Rules!$C$168="","",Rules!$E$168)</f>
        <v>Out</v>
      </c>
      <c r="F167" s="73" t="str">
        <f>IF(Rules!$C$168="","",Rules!$G$168)</f>
        <v>Yes</v>
      </c>
      <c r="G167" s="144">
        <v>168</v>
      </c>
      <c r="H167" s="145" t="str">
        <f>IF(Rules!$C$168="","",TRIM(IF(COUNTIFS(Rules_Key,Rules!$C$168,Rules_Dir,Rules!$E$168)&gt;1,"Duplicate keyword+direction. ","")&amp;IF(LEN(Rules!$C$168)&lt;5,"Keyword under 5 characters - matches too much. ","")&amp;IF(AND(Rules!$D$168&lt;&gt;"",COUNTIF(Cat_Name,Rules!$D$168)=0),"Category is not on the Categories sheet - rows will fall to Review Required. ","")&amp;IF(Rules!$F$168="Broad","Broad scope - deliberately forces Review Required. ","")&amp;IF(Rules!$G$168&lt;&gt;"Yes","Rule is switched OFF. ","")&amp;IF(AND(Rules!$C$168&lt;&gt;"",Rules!$D$168=""),"Keyword with no category. ","")))</f>
        <v/>
      </c>
    </row>
    <row r="168" spans="2:8" x14ac:dyDescent="0.25">
      <c r="B168" s="75">
        <f>IF(Rules!$C$169="","",Rules!$B$169)</f>
        <v>200</v>
      </c>
      <c r="C168" s="146" t="str">
        <f>IF(Rules!$C$169="","",Rules!$C$169)</f>
        <v>AMERICAN DENTAL</v>
      </c>
      <c r="D168" s="146" t="str">
        <f>IF(Rules!$C$169="","",Rules!$D$169)</f>
        <v>Professional Memberships &amp; Dues</v>
      </c>
      <c r="E168" s="75" t="str">
        <f>IF(Rules!$C$169="","",Rules!$E$169)</f>
        <v>Out</v>
      </c>
      <c r="F168" s="75" t="str">
        <f>IF(Rules!$C$169="","",Rules!$G$169)</f>
        <v>Yes</v>
      </c>
      <c r="G168" s="147">
        <v>169</v>
      </c>
      <c r="H168" s="148" t="str">
        <f>IF(Rules!$C$169="","",TRIM(IF(COUNTIFS(Rules_Key,Rules!$C$169,Rules_Dir,Rules!$E$169)&gt;1,"Duplicate keyword+direction. ","")&amp;IF(LEN(Rules!$C$169)&lt;5,"Keyword under 5 characters - matches too much. ","")&amp;IF(AND(Rules!$D$169&lt;&gt;"",COUNTIF(Cat_Name,Rules!$D$169)=0),"Category is not on the Categories sheet - rows will fall to Review Required. ","")&amp;IF(Rules!$F$169="Broad","Broad scope - deliberately forces Review Required. ","")&amp;IF(Rules!$G$169&lt;&gt;"Yes","Rule is switched OFF. ","")&amp;IF(AND(Rules!$C$169&lt;&gt;"",Rules!$D$169=""),"Keyword with no category. ","")))</f>
        <v/>
      </c>
    </row>
    <row r="169" spans="2:8" x14ac:dyDescent="0.25">
      <c r="B169" s="73">
        <f>IF(Rules!$C$170="","",Rules!$B$170)</f>
        <v>200</v>
      </c>
      <c r="C169" s="143" t="str">
        <f>IF(Rules!$C$170="","",Rules!$C$170)</f>
        <v>MEMBERSHIP DUES</v>
      </c>
      <c r="D169" s="143" t="str">
        <f>IF(Rules!$C$170="","",Rules!$D$170)</f>
        <v>Professional Memberships &amp; Dues</v>
      </c>
      <c r="E169" s="73" t="str">
        <f>IF(Rules!$C$170="","",Rules!$E$170)</f>
        <v>Out</v>
      </c>
      <c r="F169" s="73" t="str">
        <f>IF(Rules!$C$170="","",Rules!$G$170)</f>
        <v>Yes</v>
      </c>
      <c r="G169" s="144">
        <v>170</v>
      </c>
      <c r="H169" s="145" t="str">
        <f>IF(Rules!$C$170="","",TRIM(IF(COUNTIFS(Rules_Key,Rules!$C$170,Rules_Dir,Rules!$E$170)&gt;1,"Duplicate keyword+direction. ","")&amp;IF(LEN(Rules!$C$170)&lt;5,"Keyword under 5 characters - matches too much. ","")&amp;IF(AND(Rules!$D$170&lt;&gt;"",COUNTIF(Cat_Name,Rules!$D$170)=0),"Category is not on the Categories sheet - rows will fall to Review Required. ","")&amp;IF(Rules!$F$170="Broad","Broad scope - deliberately forces Review Required. ","")&amp;IF(Rules!$G$170&lt;&gt;"Yes","Rule is switched OFF. ","")&amp;IF(AND(Rules!$C$170&lt;&gt;"",Rules!$D$170=""),"Keyword with no category. ","")))</f>
        <v/>
      </c>
    </row>
    <row r="170" spans="2:8" x14ac:dyDescent="0.25">
      <c r="B170" s="75">
        <f>IF(Rules!$C$171="","",Rules!$B$171)</f>
        <v>200</v>
      </c>
      <c r="C170" s="146" t="str">
        <f>IF(Rules!$C$171="","",Rules!$C$171)</f>
        <v>NURSES ASSN</v>
      </c>
      <c r="D170" s="146" t="str">
        <f>IF(Rules!$C$171="","",Rules!$D$171)</f>
        <v>Professional Memberships &amp; Dues</v>
      </c>
      <c r="E170" s="75" t="str">
        <f>IF(Rules!$C$171="","",Rules!$E$171)</f>
        <v>Out</v>
      </c>
      <c r="F170" s="75" t="str">
        <f>IF(Rules!$C$171="","",Rules!$G$171)</f>
        <v>Yes</v>
      </c>
      <c r="G170" s="147">
        <v>171</v>
      </c>
      <c r="H170" s="148" t="str">
        <f>IF(Rules!$C$171="","",TRIM(IF(COUNTIFS(Rules_Key,Rules!$C$171,Rules_Dir,Rules!$E$171)&gt;1,"Duplicate keyword+direction. ","")&amp;IF(LEN(Rules!$C$171)&lt;5,"Keyword under 5 characters - matches too much. ","")&amp;IF(AND(Rules!$D$171&lt;&gt;"",COUNTIF(Cat_Name,Rules!$D$171)=0),"Category is not on the Categories sheet - rows will fall to Review Required. ","")&amp;IF(Rules!$F$171="Broad","Broad scope - deliberately forces Review Required. ","")&amp;IF(Rules!$G$171&lt;&gt;"Yes","Rule is switched OFF. ","")&amp;IF(AND(Rules!$C$171&lt;&gt;"",Rules!$D$171=""),"Keyword with no category. ","")))</f>
        <v/>
      </c>
    </row>
    <row r="171" spans="2:8" x14ac:dyDescent="0.25">
      <c r="B171" s="73">
        <f>IF(Rules!$C$172="","",Rules!$B$172)</f>
        <v>200</v>
      </c>
      <c r="C171" s="143" t="str">
        <f>IF(Rules!$C$172="","",Rules!$C$172)</f>
        <v>NURSES ASSOCIATION</v>
      </c>
      <c r="D171" s="143" t="str">
        <f>IF(Rules!$C$172="","",Rules!$D$172)</f>
        <v>Professional Memberships &amp; Dues</v>
      </c>
      <c r="E171" s="73" t="str">
        <f>IF(Rules!$C$172="","",Rules!$E$172)</f>
        <v>Out</v>
      </c>
      <c r="F171" s="73" t="str">
        <f>IF(Rules!$C$172="","",Rules!$G$172)</f>
        <v>Yes</v>
      </c>
      <c r="G171" s="144">
        <v>172</v>
      </c>
      <c r="H171" s="145" t="str">
        <f>IF(Rules!$C$172="","",TRIM(IF(COUNTIFS(Rules_Key,Rules!$C$172,Rules_Dir,Rules!$E$172)&gt;1,"Duplicate keyword+direction. ","")&amp;IF(LEN(Rules!$C$172)&lt;5,"Keyword under 5 characters - matches too much. ","")&amp;IF(AND(Rules!$D$172&lt;&gt;"",COUNTIF(Cat_Name,Rules!$D$172)=0),"Category is not on the Categories sheet - rows will fall to Review Required. ","")&amp;IF(Rules!$F$172="Broad","Broad scope - deliberately forces Review Required. ","")&amp;IF(Rules!$G$172&lt;&gt;"Yes","Rule is switched OFF. ","")&amp;IF(AND(Rules!$C$172&lt;&gt;"",Rules!$D$172=""),"Keyword with no category. ","")))</f>
        <v/>
      </c>
    </row>
    <row r="172" spans="2:8" x14ac:dyDescent="0.25">
      <c r="B172" s="75">
        <f>IF(Rules!$C$173="","",Rules!$B$173)</f>
        <v>200</v>
      </c>
      <c r="C172" s="146" t="str">
        <f>IF(Rules!$C$173="","",Rules!$C$173)</f>
        <v>CHIROPRACTIC ASSN</v>
      </c>
      <c r="D172" s="146" t="str">
        <f>IF(Rules!$C$173="","",Rules!$D$173)</f>
        <v>Professional Memberships &amp; Dues</v>
      </c>
      <c r="E172" s="75" t="str">
        <f>IF(Rules!$C$173="","",Rules!$E$173)</f>
        <v>Out</v>
      </c>
      <c r="F172" s="75" t="str">
        <f>IF(Rules!$C$173="","",Rules!$G$173)</f>
        <v>Yes</v>
      </c>
      <c r="G172" s="147">
        <v>173</v>
      </c>
      <c r="H172" s="148" t="str">
        <f>IF(Rules!$C$173="","",TRIM(IF(COUNTIFS(Rules_Key,Rules!$C$173,Rules_Dir,Rules!$E$173)&gt;1,"Duplicate keyword+direction. ","")&amp;IF(LEN(Rules!$C$173)&lt;5,"Keyword under 5 characters - matches too much. ","")&amp;IF(AND(Rules!$D$173&lt;&gt;"",COUNTIF(Cat_Name,Rules!$D$173)=0),"Category is not on the Categories sheet - rows will fall to Review Required. ","")&amp;IF(Rules!$F$173="Broad","Broad scope - deliberately forces Review Required. ","")&amp;IF(Rules!$G$173&lt;&gt;"Yes","Rule is switched OFF. ","")&amp;IF(AND(Rules!$C$173&lt;&gt;"",Rules!$D$173=""),"Keyword with no category. ","")))</f>
        <v/>
      </c>
    </row>
    <row r="173" spans="2:8" x14ac:dyDescent="0.25">
      <c r="B173" s="73">
        <f>IF(Rules!$C$174="","",Rules!$B$174)</f>
        <v>200</v>
      </c>
      <c r="C173" s="143" t="str">
        <f>IF(Rules!$C$174="","",Rules!$C$174)</f>
        <v>OPTOMETRIC ASSN</v>
      </c>
      <c r="D173" s="143" t="str">
        <f>IF(Rules!$C$174="","",Rules!$D$174)</f>
        <v>Professional Memberships &amp; Dues</v>
      </c>
      <c r="E173" s="73" t="str">
        <f>IF(Rules!$C$174="","",Rules!$E$174)</f>
        <v>Out</v>
      </c>
      <c r="F173" s="73" t="str">
        <f>IF(Rules!$C$174="","",Rules!$G$174)</f>
        <v>Yes</v>
      </c>
      <c r="G173" s="144">
        <v>174</v>
      </c>
      <c r="H173" s="145" t="str">
        <f>IF(Rules!$C$174="","",TRIM(IF(COUNTIFS(Rules_Key,Rules!$C$174,Rules_Dir,Rules!$E$174)&gt;1,"Duplicate keyword+direction. ","")&amp;IF(LEN(Rules!$C$174)&lt;5,"Keyword under 5 characters - matches too much. ","")&amp;IF(AND(Rules!$D$174&lt;&gt;"",COUNTIF(Cat_Name,Rules!$D$174)=0),"Category is not on the Categories sheet - rows will fall to Review Required. ","")&amp;IF(Rules!$F$174="Broad","Broad scope - deliberately forces Review Required. ","")&amp;IF(Rules!$G$174&lt;&gt;"Yes","Rule is switched OFF. ","")&amp;IF(AND(Rules!$C$174&lt;&gt;"",Rules!$D$174=""),"Keyword with no category. ","")))</f>
        <v/>
      </c>
    </row>
    <row r="174" spans="2:8" x14ac:dyDescent="0.25">
      <c r="B174" s="75">
        <f>IF(Rules!$C$175="","",Rules!$B$175)</f>
        <v>200</v>
      </c>
      <c r="C174" s="146" t="str">
        <f>IF(Rules!$C$175="","",Rules!$C$175)</f>
        <v>PSYCHOLOGICAL ASSN</v>
      </c>
      <c r="D174" s="146" t="str">
        <f>IF(Rules!$C$175="","",Rules!$D$175)</f>
        <v>Professional Memberships &amp; Dues</v>
      </c>
      <c r="E174" s="75" t="str">
        <f>IF(Rules!$C$175="","",Rules!$E$175)</f>
        <v>Out</v>
      </c>
      <c r="F174" s="75" t="str">
        <f>IF(Rules!$C$175="","",Rules!$G$175)</f>
        <v>Yes</v>
      </c>
      <c r="G174" s="147">
        <v>175</v>
      </c>
      <c r="H174" s="148" t="str">
        <f>IF(Rules!$C$175="","",TRIM(IF(COUNTIFS(Rules_Key,Rules!$C$175,Rules_Dir,Rules!$E$175)&gt;1,"Duplicate keyword+direction. ","")&amp;IF(LEN(Rules!$C$175)&lt;5,"Keyword under 5 characters - matches too much. ","")&amp;IF(AND(Rules!$D$175&lt;&gt;"",COUNTIF(Cat_Name,Rules!$D$175)=0),"Category is not on the Categories sheet - rows will fall to Review Required. ","")&amp;IF(Rules!$F$175="Broad","Broad scope - deliberately forces Review Required. ","")&amp;IF(Rules!$G$175&lt;&gt;"Yes","Rule is switched OFF. ","")&amp;IF(AND(Rules!$C$175&lt;&gt;"",Rules!$D$175=""),"Keyword with no category. ","")))</f>
        <v/>
      </c>
    </row>
    <row r="175" spans="2:8" x14ac:dyDescent="0.25">
      <c r="B175" s="73">
        <f>IF(Rules!$C$176="","",Rules!$B$176)</f>
        <v>200</v>
      </c>
      <c r="C175" s="143" t="str">
        <f>IF(Rules!$C$176="","",Rules!$C$176)</f>
        <v>THERAPY ASSN</v>
      </c>
      <c r="D175" s="143" t="str">
        <f>IF(Rules!$C$176="","",Rules!$D$176)</f>
        <v>Professional Memberships &amp; Dues</v>
      </c>
      <c r="E175" s="73" t="str">
        <f>IF(Rules!$C$176="","",Rules!$E$176)</f>
        <v>Out</v>
      </c>
      <c r="F175" s="73" t="str">
        <f>IF(Rules!$C$176="","",Rules!$G$176)</f>
        <v>Yes</v>
      </c>
      <c r="G175" s="144">
        <v>176</v>
      </c>
      <c r="H175" s="145" t="str">
        <f>IF(Rules!$C$176="","",TRIM(IF(COUNTIFS(Rules_Key,Rules!$C$176,Rules_Dir,Rules!$E$176)&gt;1,"Duplicate keyword+direction. ","")&amp;IF(LEN(Rules!$C$176)&lt;5,"Keyword under 5 characters - matches too much. ","")&amp;IF(AND(Rules!$D$176&lt;&gt;"",COUNTIF(Cat_Name,Rules!$D$176)=0),"Category is not on the Categories sheet - rows will fall to Review Required. ","")&amp;IF(Rules!$F$176="Broad","Broad scope - deliberately forces Review Required. ","")&amp;IF(Rules!$G$176&lt;&gt;"Yes","Rule is switched OFF. ","")&amp;IF(AND(Rules!$C$176&lt;&gt;"",Rules!$D$176=""),"Keyword with no category. ","")))</f>
        <v/>
      </c>
    </row>
    <row r="176" spans="2:8" x14ac:dyDescent="0.25">
      <c r="B176" s="75">
        <f>IF(Rules!$C$177="","",Rules!$B$177)</f>
        <v>200</v>
      </c>
      <c r="C176" s="146" t="str">
        <f>IF(Rules!$C$177="","",Rules!$C$177)</f>
        <v>MEDICAL ASSN</v>
      </c>
      <c r="D176" s="146" t="str">
        <f>IF(Rules!$C$177="","",Rules!$D$177)</f>
        <v>Professional Memberships &amp; Dues</v>
      </c>
      <c r="E176" s="75" t="str">
        <f>IF(Rules!$C$177="","",Rules!$E$177)</f>
        <v>Out</v>
      </c>
      <c r="F176" s="75" t="str">
        <f>IF(Rules!$C$177="","",Rules!$G$177)</f>
        <v>Yes</v>
      </c>
      <c r="G176" s="147">
        <v>177</v>
      </c>
      <c r="H176" s="148" t="str">
        <f>IF(Rules!$C$177="","",TRIM(IF(COUNTIFS(Rules_Key,Rules!$C$177,Rules_Dir,Rules!$E$177)&gt;1,"Duplicate keyword+direction. ","")&amp;IF(LEN(Rules!$C$177)&lt;5,"Keyword under 5 characters - matches too much. ","")&amp;IF(AND(Rules!$D$177&lt;&gt;"",COUNTIF(Cat_Name,Rules!$D$177)=0),"Category is not on the Categories sheet - rows will fall to Review Required. ","")&amp;IF(Rules!$F$177="Broad","Broad scope - deliberately forces Review Required. ","")&amp;IF(Rules!$G$177&lt;&gt;"Yes","Rule is switched OFF. ","")&amp;IF(AND(Rules!$C$177&lt;&gt;"",Rules!$D$177=""),"Keyword with no category. ","")))</f>
        <v/>
      </c>
    </row>
    <row r="177" spans="2:8" x14ac:dyDescent="0.25">
      <c r="B177" s="73">
        <f>IF(Rules!$C$178="","",Rules!$B$178)</f>
        <v>200</v>
      </c>
      <c r="C177" s="143" t="str">
        <f>IF(Rules!$C$178="","",Rules!$C$178)</f>
        <v>MEDICAL ASSOCIATION</v>
      </c>
      <c r="D177" s="143" t="str">
        <f>IF(Rules!$C$178="","",Rules!$D$178)</f>
        <v>Professional Memberships &amp; Dues</v>
      </c>
      <c r="E177" s="73" t="str">
        <f>IF(Rules!$C$178="","",Rules!$E$178)</f>
        <v>Out</v>
      </c>
      <c r="F177" s="73" t="str">
        <f>IF(Rules!$C$178="","",Rules!$G$178)</f>
        <v>Yes</v>
      </c>
      <c r="G177" s="144">
        <v>178</v>
      </c>
      <c r="H177" s="145" t="str">
        <f>IF(Rules!$C$178="","",TRIM(IF(COUNTIFS(Rules_Key,Rules!$C$178,Rules_Dir,Rules!$E$178)&gt;1,"Duplicate keyword+direction. ","")&amp;IF(LEN(Rules!$C$178)&lt;5,"Keyword under 5 characters - matches too much. ","")&amp;IF(AND(Rules!$D$178&lt;&gt;"",COUNTIF(Cat_Name,Rules!$D$178)=0),"Category is not on the Categories sheet - rows will fall to Review Required. ","")&amp;IF(Rules!$F$178="Broad","Broad scope - deliberately forces Review Required. ","")&amp;IF(Rules!$G$178&lt;&gt;"Yes","Rule is switched OFF. ","")&amp;IF(AND(Rules!$C$178&lt;&gt;"",Rules!$D$178=""),"Keyword with no category. ","")))</f>
        <v/>
      </c>
    </row>
    <row r="178" spans="2:8" x14ac:dyDescent="0.25">
      <c r="B178" s="75">
        <f>IF(Rules!$C$179="","",Rules!$B$179)</f>
        <v>200</v>
      </c>
      <c r="C178" s="146" t="str">
        <f>IF(Rules!$C$179="","",Rules!$C$179)</f>
        <v>MEDICAL SOCIETY</v>
      </c>
      <c r="D178" s="146" t="str">
        <f>IF(Rules!$C$179="","",Rules!$D$179)</f>
        <v>Professional Memberships &amp; Dues</v>
      </c>
      <c r="E178" s="75" t="str">
        <f>IF(Rules!$C$179="","",Rules!$E$179)</f>
        <v>Out</v>
      </c>
      <c r="F178" s="75" t="str">
        <f>IF(Rules!$C$179="","",Rules!$G$179)</f>
        <v>Yes</v>
      </c>
      <c r="G178" s="147">
        <v>179</v>
      </c>
      <c r="H178" s="148" t="str">
        <f>IF(Rules!$C$179="","",TRIM(IF(COUNTIFS(Rules_Key,Rules!$C$179,Rules_Dir,Rules!$E$179)&gt;1,"Duplicate keyword+direction. ","")&amp;IF(LEN(Rules!$C$179)&lt;5,"Keyword under 5 characters - matches too much. ","")&amp;IF(AND(Rules!$D$179&lt;&gt;"",COUNTIF(Cat_Name,Rules!$D$179)=0),"Category is not on the Categories sheet - rows will fall to Review Required. ","")&amp;IF(Rules!$F$179="Broad","Broad scope - deliberately forces Review Required. ","")&amp;IF(Rules!$G$179&lt;&gt;"Yes","Rule is switched OFF. ","")&amp;IF(AND(Rules!$C$179&lt;&gt;"",Rules!$D$179=""),"Keyword with no category. ","")))</f>
        <v/>
      </c>
    </row>
    <row r="179" spans="2:8" x14ac:dyDescent="0.25">
      <c r="B179" s="73">
        <f>IF(Rules!$C$180="","",Rules!$B$180)</f>
        <v>200</v>
      </c>
      <c r="C179" s="143" t="str">
        <f>IF(Rules!$C$180="","",Rules!$C$180)</f>
        <v>DENTAL ASSN</v>
      </c>
      <c r="D179" s="143" t="str">
        <f>IF(Rules!$C$180="","",Rules!$D$180)</f>
        <v>Professional Memberships &amp; Dues</v>
      </c>
      <c r="E179" s="73" t="str">
        <f>IF(Rules!$C$180="","",Rules!$E$180)</f>
        <v>Out</v>
      </c>
      <c r="F179" s="73" t="str">
        <f>IF(Rules!$C$180="","",Rules!$G$180)</f>
        <v>Yes</v>
      </c>
      <c r="G179" s="144">
        <v>180</v>
      </c>
      <c r="H179" s="145" t="str">
        <f>IF(Rules!$C$180="","",TRIM(IF(COUNTIFS(Rules_Key,Rules!$C$180,Rules_Dir,Rules!$E$180)&gt;1,"Duplicate keyword+direction. ","")&amp;IF(LEN(Rules!$C$180)&lt;5,"Keyword under 5 characters - matches too much. ","")&amp;IF(AND(Rules!$D$180&lt;&gt;"",COUNTIF(Cat_Name,Rules!$D$180)=0),"Category is not on the Categories sheet - rows will fall to Review Required. ","")&amp;IF(Rules!$F$180="Broad","Broad scope - deliberately forces Review Required. ","")&amp;IF(Rules!$G$180&lt;&gt;"Yes","Rule is switched OFF. ","")&amp;IF(AND(Rules!$C$180&lt;&gt;"",Rules!$D$180=""),"Keyword with no category. ","")))</f>
        <v/>
      </c>
    </row>
    <row r="180" spans="2:8" x14ac:dyDescent="0.25">
      <c r="B180" s="75">
        <f>IF(Rules!$C$181="","",Rules!$B$181)</f>
        <v>200</v>
      </c>
      <c r="C180" s="146" t="str">
        <f>IF(Rules!$C$181="","",Rules!$C$181)</f>
        <v>DENTAL SOCIETY</v>
      </c>
      <c r="D180" s="146" t="str">
        <f>IF(Rules!$C$181="","",Rules!$D$181)</f>
        <v>Professional Memberships &amp; Dues</v>
      </c>
      <c r="E180" s="75" t="str">
        <f>IF(Rules!$C$181="","",Rules!$E$181)</f>
        <v>Out</v>
      </c>
      <c r="F180" s="75" t="str">
        <f>IF(Rules!$C$181="","",Rules!$G$181)</f>
        <v>Yes</v>
      </c>
      <c r="G180" s="147">
        <v>181</v>
      </c>
      <c r="H180" s="148" t="str">
        <f>IF(Rules!$C$181="","",TRIM(IF(COUNTIFS(Rules_Key,Rules!$C$181,Rules_Dir,Rules!$E$181)&gt;1,"Duplicate keyword+direction. ","")&amp;IF(LEN(Rules!$C$181)&lt;5,"Keyword under 5 characters - matches too much. ","")&amp;IF(AND(Rules!$D$181&lt;&gt;"",COUNTIF(Cat_Name,Rules!$D$181)=0),"Category is not on the Categories sheet - rows will fall to Review Required. ","")&amp;IF(Rules!$F$181="Broad","Broad scope - deliberately forces Review Required. ","")&amp;IF(Rules!$G$181&lt;&gt;"Yes","Rule is switched OFF. ","")&amp;IF(AND(Rules!$C$181&lt;&gt;"",Rules!$D$181=""),"Keyword with no category. ","")))</f>
        <v/>
      </c>
    </row>
    <row r="181" spans="2:8" x14ac:dyDescent="0.25">
      <c r="B181" s="73">
        <f>IF(Rules!$C$182="","",Rules!$B$182)</f>
        <v>200</v>
      </c>
      <c r="C181" s="143" t="str">
        <f>IF(Rules!$C$182="","",Rules!$C$182)</f>
        <v>CME</v>
      </c>
      <c r="D181" s="143" t="str">
        <f>IF(Rules!$C$182="","",Rules!$D$182)</f>
        <v>Continuing Education (CME / CE)</v>
      </c>
      <c r="E181" s="73" t="str">
        <f>IF(Rules!$C$182="","",Rules!$E$182)</f>
        <v>Out</v>
      </c>
      <c r="F181" s="73" t="str">
        <f>IF(Rules!$C$182="","",Rules!$G$182)</f>
        <v>Yes</v>
      </c>
      <c r="G181" s="144">
        <v>182</v>
      </c>
      <c r="H181" s="145" t="str">
        <f>IF(Rules!$C$182="","",TRIM(IF(COUNTIFS(Rules_Key,Rules!$C$182,Rules_Dir,Rules!$E$182)&gt;1,"Duplicate keyword+direction. ","")&amp;IF(LEN(Rules!$C$182)&lt;5,"Keyword under 5 characters - matches too much. ","")&amp;IF(AND(Rules!$D$182&lt;&gt;"",COUNTIF(Cat_Name,Rules!$D$182)=0),"Category is not on the Categories sheet - rows will fall to Review Required. ","")&amp;IF(Rules!$F$182="Broad","Broad scope - deliberately forces Review Required. ","")&amp;IF(Rules!$G$182&lt;&gt;"Yes","Rule is switched OFF. ","")&amp;IF(AND(Rules!$C$182&lt;&gt;"",Rules!$D$182=""),"Keyword with no category. ","")))</f>
        <v>Keyword under 5 characters - matches too much.</v>
      </c>
    </row>
    <row r="182" spans="2:8" x14ac:dyDescent="0.25">
      <c r="B182" s="75">
        <f>IF(Rules!$C$183="","",Rules!$B$183)</f>
        <v>200</v>
      </c>
      <c r="C182" s="146" t="str">
        <f>IF(Rules!$C$183="","",Rules!$C$183)</f>
        <v>CONTINUING ED</v>
      </c>
      <c r="D182" s="146" t="str">
        <f>IF(Rules!$C$183="","",Rules!$D$183)</f>
        <v>Continuing Education (CME / CE)</v>
      </c>
      <c r="E182" s="75" t="str">
        <f>IF(Rules!$C$183="","",Rules!$E$183)</f>
        <v>Out</v>
      </c>
      <c r="F182" s="75" t="str">
        <f>IF(Rules!$C$183="","",Rules!$G$183)</f>
        <v>Yes</v>
      </c>
      <c r="G182" s="147">
        <v>183</v>
      </c>
      <c r="H182" s="148" t="str">
        <f>IF(Rules!$C$183="","",TRIM(IF(COUNTIFS(Rules_Key,Rules!$C$183,Rules_Dir,Rules!$E$183)&gt;1,"Duplicate keyword+direction. ","")&amp;IF(LEN(Rules!$C$183)&lt;5,"Keyword under 5 characters - matches too much. ","")&amp;IF(AND(Rules!$D$183&lt;&gt;"",COUNTIF(Cat_Name,Rules!$D$183)=0),"Category is not on the Categories sheet - rows will fall to Review Required. ","")&amp;IF(Rules!$F$183="Broad","Broad scope - deliberately forces Review Required. ","")&amp;IF(Rules!$G$183&lt;&gt;"Yes","Rule is switched OFF. ","")&amp;IF(AND(Rules!$C$183&lt;&gt;"",Rules!$D$183=""),"Keyword with no category. ","")))</f>
        <v/>
      </c>
    </row>
    <row r="183" spans="2:8" x14ac:dyDescent="0.25">
      <c r="B183" s="73">
        <f>IF(Rules!$C$184="","",Rules!$B$184)</f>
        <v>200</v>
      </c>
      <c r="C183" s="143" t="str">
        <f>IF(Rules!$C$184="","",Rules!$C$184)</f>
        <v>UPTODATE</v>
      </c>
      <c r="D183" s="143" t="str">
        <f>IF(Rules!$C$184="","",Rules!$D$184)</f>
        <v>Books, Journals &amp; Clinical References</v>
      </c>
      <c r="E183" s="73" t="str">
        <f>IF(Rules!$C$184="","",Rules!$E$184)</f>
        <v>Out</v>
      </c>
      <c r="F183" s="73" t="str">
        <f>IF(Rules!$C$184="","",Rules!$G$184)</f>
        <v>Yes</v>
      </c>
      <c r="G183" s="144">
        <v>184</v>
      </c>
      <c r="H183" s="145" t="str">
        <f>IF(Rules!$C$184="","",TRIM(IF(COUNTIFS(Rules_Key,Rules!$C$184,Rules_Dir,Rules!$E$184)&gt;1,"Duplicate keyword+direction. ","")&amp;IF(LEN(Rules!$C$184)&lt;5,"Keyword under 5 characters - matches too much. ","")&amp;IF(AND(Rules!$D$184&lt;&gt;"",COUNTIF(Cat_Name,Rules!$D$184)=0),"Category is not on the Categories sheet - rows will fall to Review Required. ","")&amp;IF(Rules!$F$184="Broad","Broad scope - deliberately forces Review Required. ","")&amp;IF(Rules!$G$184&lt;&gt;"Yes","Rule is switched OFF. ","")&amp;IF(AND(Rules!$C$184&lt;&gt;"",Rules!$D$184=""),"Keyword with no category. ","")))</f>
        <v/>
      </c>
    </row>
    <row r="184" spans="2:8" x14ac:dyDescent="0.25">
      <c r="B184" s="75">
        <f>IF(Rules!$C$185="","",Rules!$B$185)</f>
        <v>200</v>
      </c>
      <c r="C184" s="146" t="str">
        <f>IF(Rules!$C$185="","",Rules!$C$185)</f>
        <v>LAW FIRM</v>
      </c>
      <c r="D184" s="146" t="str">
        <f>IF(Rules!$C$185="","",Rules!$D$185)</f>
        <v>Legal Fees</v>
      </c>
      <c r="E184" s="75" t="str">
        <f>IF(Rules!$C$185="","",Rules!$E$185)</f>
        <v>Out</v>
      </c>
      <c r="F184" s="75" t="str">
        <f>IF(Rules!$C$185="","",Rules!$G$185)</f>
        <v>Yes</v>
      </c>
      <c r="G184" s="147">
        <v>185</v>
      </c>
      <c r="H184" s="148" t="str">
        <f>IF(Rules!$C$185="","",TRIM(IF(COUNTIFS(Rules_Key,Rules!$C$185,Rules_Dir,Rules!$E$185)&gt;1,"Duplicate keyword+direction. ","")&amp;IF(LEN(Rules!$C$185)&lt;5,"Keyword under 5 characters - matches too much. ","")&amp;IF(AND(Rules!$D$185&lt;&gt;"",COUNTIF(Cat_Name,Rules!$D$185)=0),"Category is not on the Categories sheet - rows will fall to Review Required. ","")&amp;IF(Rules!$F$185="Broad","Broad scope - deliberately forces Review Required. ","")&amp;IF(Rules!$G$185&lt;&gt;"Yes","Rule is switched OFF. ","")&amp;IF(AND(Rules!$C$185&lt;&gt;"",Rules!$D$185=""),"Keyword with no category. ","")))</f>
        <v/>
      </c>
    </row>
    <row r="185" spans="2:8" x14ac:dyDescent="0.25">
      <c r="B185" s="73">
        <f>IF(Rules!$C$186="","",Rules!$B$186)</f>
        <v>200</v>
      </c>
      <c r="C185" s="143" t="str">
        <f>IF(Rules!$C$186="","",Rules!$C$186)</f>
        <v>ATTORNEY</v>
      </c>
      <c r="D185" s="143" t="str">
        <f>IF(Rules!$C$186="","",Rules!$D$186)</f>
        <v>Legal Fees</v>
      </c>
      <c r="E185" s="73" t="str">
        <f>IF(Rules!$C$186="","",Rules!$E$186)</f>
        <v>Out</v>
      </c>
      <c r="F185" s="73" t="str">
        <f>IF(Rules!$C$186="","",Rules!$G$186)</f>
        <v>Yes</v>
      </c>
      <c r="G185" s="144">
        <v>186</v>
      </c>
      <c r="H185" s="145" t="str">
        <f>IF(Rules!$C$186="","",TRIM(IF(COUNTIFS(Rules_Key,Rules!$C$186,Rules_Dir,Rules!$E$186)&gt;1,"Duplicate keyword+direction. ","")&amp;IF(LEN(Rules!$C$186)&lt;5,"Keyword under 5 characters - matches too much. ","")&amp;IF(AND(Rules!$D$186&lt;&gt;"",COUNTIF(Cat_Name,Rules!$D$186)=0),"Category is not on the Categories sheet - rows will fall to Review Required. ","")&amp;IF(Rules!$F$186="Broad","Broad scope - deliberately forces Review Required. ","")&amp;IF(Rules!$G$186&lt;&gt;"Yes","Rule is switched OFF. ","")&amp;IF(AND(Rules!$C$186&lt;&gt;"",Rules!$D$186=""),"Keyword with no category. ","")))</f>
        <v/>
      </c>
    </row>
    <row r="186" spans="2:8" x14ac:dyDescent="0.25">
      <c r="B186" s="75">
        <f>IF(Rules!$C$187="","",Rules!$B$187)</f>
        <v>200</v>
      </c>
      <c r="C186" s="146" t="str">
        <f>IF(Rules!$C$187="","",Rules!$C$187)</f>
        <v>POWELL UNITED</v>
      </c>
      <c r="D186" s="146" t="str">
        <f>IF(Rules!$C$187="","",Rules!$D$187)</f>
        <v>Accounting, Bookkeeping &amp; Tax Prep</v>
      </c>
      <c r="E186" s="75" t="str">
        <f>IF(Rules!$C$187="","",Rules!$E$187)</f>
        <v>Out</v>
      </c>
      <c r="F186" s="75" t="str">
        <f>IF(Rules!$C$187="","",Rules!$G$187)</f>
        <v>Yes</v>
      </c>
      <c r="G186" s="147">
        <v>187</v>
      </c>
      <c r="H186" s="148" t="str">
        <f>IF(Rules!$C$187="","",TRIM(IF(COUNTIFS(Rules_Key,Rules!$C$187,Rules_Dir,Rules!$E$187)&gt;1,"Duplicate keyword+direction. ","")&amp;IF(LEN(Rules!$C$187)&lt;5,"Keyword under 5 characters - matches too much. ","")&amp;IF(AND(Rules!$D$187&lt;&gt;"",COUNTIF(Cat_Name,Rules!$D$187)=0),"Category is not on the Categories sheet - rows will fall to Review Required. ","")&amp;IF(Rules!$F$187="Broad","Broad scope - deliberately forces Review Required. ","")&amp;IF(Rules!$G$187&lt;&gt;"Yes","Rule is switched OFF. ","")&amp;IF(AND(Rules!$C$187&lt;&gt;"",Rules!$D$187=""),"Keyword with no category. ","")))</f>
        <v/>
      </c>
    </row>
    <row r="187" spans="2:8" x14ac:dyDescent="0.25">
      <c r="B187" s="73">
        <f>IF(Rules!$C$188="","",Rules!$B$188)</f>
        <v>200</v>
      </c>
      <c r="C187" s="143" t="str">
        <f>IF(Rules!$C$188="","",Rules!$C$188)</f>
        <v>BOOKKEEP</v>
      </c>
      <c r="D187" s="143" t="str">
        <f>IF(Rules!$C$188="","",Rules!$D$188)</f>
        <v>Accounting, Bookkeeping &amp; Tax Prep</v>
      </c>
      <c r="E187" s="73" t="str">
        <f>IF(Rules!$C$188="","",Rules!$E$188)</f>
        <v>Out</v>
      </c>
      <c r="F187" s="73" t="str">
        <f>IF(Rules!$C$188="","",Rules!$G$188)</f>
        <v>Yes</v>
      </c>
      <c r="G187" s="144">
        <v>188</v>
      </c>
      <c r="H187" s="145" t="str">
        <f>IF(Rules!$C$188="","",TRIM(IF(COUNTIFS(Rules_Key,Rules!$C$188,Rules_Dir,Rules!$E$188)&gt;1,"Duplicate keyword+direction. ","")&amp;IF(LEN(Rules!$C$188)&lt;5,"Keyword under 5 characters - matches too much. ","")&amp;IF(AND(Rules!$D$188&lt;&gt;"",COUNTIF(Cat_Name,Rules!$D$188)=0),"Category is not on the Categories sheet - rows will fall to Review Required. ","")&amp;IF(Rules!$F$188="Broad","Broad scope - deliberately forces Review Required. ","")&amp;IF(Rules!$G$188&lt;&gt;"Yes","Rule is switched OFF. ","")&amp;IF(AND(Rules!$C$188&lt;&gt;"",Rules!$D$188=""),"Keyword with no category. ","")))</f>
        <v/>
      </c>
    </row>
    <row r="188" spans="2:8" x14ac:dyDescent="0.25">
      <c r="B188" s="75">
        <f>IF(Rules!$C$189="","",Rules!$B$189)</f>
        <v>200</v>
      </c>
      <c r="C188" s="146" t="str">
        <f>IF(Rules!$C$189="","",Rules!$C$189)</f>
        <v>CENTERPOINT</v>
      </c>
      <c r="D188" s="146" t="str">
        <f>IF(Rules!$C$189="","",Rules!$D$189)</f>
        <v>Utilities</v>
      </c>
      <c r="E188" s="75" t="str">
        <f>IF(Rules!$C$189="","",Rules!$E$189)</f>
        <v>Out</v>
      </c>
      <c r="F188" s="75" t="str">
        <f>IF(Rules!$C$189="","",Rules!$G$189)</f>
        <v>Yes</v>
      </c>
      <c r="G188" s="147">
        <v>189</v>
      </c>
      <c r="H188" s="148" t="str">
        <f>IF(Rules!$C$189="","",TRIM(IF(COUNTIFS(Rules_Key,Rules!$C$189,Rules_Dir,Rules!$E$189)&gt;1,"Duplicate keyword+direction. ","")&amp;IF(LEN(Rules!$C$189)&lt;5,"Keyword under 5 characters - matches too much. ","")&amp;IF(AND(Rules!$D$189&lt;&gt;"",COUNTIF(Cat_Name,Rules!$D$189)=0),"Category is not on the Categories sheet - rows will fall to Review Required. ","")&amp;IF(Rules!$F$189="Broad","Broad scope - deliberately forces Review Required. ","")&amp;IF(Rules!$G$189&lt;&gt;"Yes","Rule is switched OFF. ","")&amp;IF(AND(Rules!$C$189&lt;&gt;"",Rules!$D$189=""),"Keyword with no category. ","")))</f>
        <v/>
      </c>
    </row>
    <row r="189" spans="2:8" x14ac:dyDescent="0.25">
      <c r="B189" s="73">
        <f>IF(Rules!$C$190="","",Rules!$B$190)</f>
        <v>200</v>
      </c>
      <c r="C189" s="143" t="str">
        <f>IF(Rules!$C$190="","",Rules!$C$190)</f>
        <v>RELIANT</v>
      </c>
      <c r="D189" s="143" t="str">
        <f>IF(Rules!$C$190="","",Rules!$D$190)</f>
        <v>Utilities</v>
      </c>
      <c r="E189" s="73" t="str">
        <f>IF(Rules!$C$190="","",Rules!$E$190)</f>
        <v>Out</v>
      </c>
      <c r="F189" s="73" t="str">
        <f>IF(Rules!$C$190="","",Rules!$G$190)</f>
        <v>Yes</v>
      </c>
      <c r="G189" s="144">
        <v>190</v>
      </c>
      <c r="H189" s="145" t="str">
        <f>IF(Rules!$C$190="","",TRIM(IF(COUNTIFS(Rules_Key,Rules!$C$190,Rules_Dir,Rules!$E$190)&gt;1,"Duplicate keyword+direction. ","")&amp;IF(LEN(Rules!$C$190)&lt;5,"Keyword under 5 characters - matches too much. ","")&amp;IF(AND(Rules!$D$190&lt;&gt;"",COUNTIF(Cat_Name,Rules!$D$190)=0),"Category is not on the Categories sheet - rows will fall to Review Required. ","")&amp;IF(Rules!$F$190="Broad","Broad scope - deliberately forces Review Required. ","")&amp;IF(Rules!$G$190&lt;&gt;"Yes","Rule is switched OFF. ","")&amp;IF(AND(Rules!$C$190&lt;&gt;"",Rules!$D$190=""),"Keyword with no category. ","")))</f>
        <v/>
      </c>
    </row>
    <row r="190" spans="2:8" x14ac:dyDescent="0.25">
      <c r="B190" s="75">
        <f>IF(Rules!$C$191="","",Rules!$B$191)</f>
        <v>200</v>
      </c>
      <c r="C190" s="146" t="str">
        <f>IF(Rules!$C$191="","",Rules!$C$191)</f>
        <v>CITY OF HOUSTON</v>
      </c>
      <c r="D190" s="146" t="str">
        <f>IF(Rules!$C$191="","",Rules!$D$191)</f>
        <v>Utilities</v>
      </c>
      <c r="E190" s="75" t="str">
        <f>IF(Rules!$C$191="","",Rules!$E$191)</f>
        <v>Out</v>
      </c>
      <c r="F190" s="75" t="str">
        <f>IF(Rules!$C$191="","",Rules!$G$191)</f>
        <v>Yes</v>
      </c>
      <c r="G190" s="147">
        <v>191</v>
      </c>
      <c r="H190" s="148" t="str">
        <f>IF(Rules!$C$191="","",TRIM(IF(COUNTIFS(Rules_Key,Rules!$C$191,Rules_Dir,Rules!$E$191)&gt;1,"Duplicate keyword+direction. ","")&amp;IF(LEN(Rules!$C$191)&lt;5,"Keyword under 5 characters - matches too much. ","")&amp;IF(AND(Rules!$D$191&lt;&gt;"",COUNTIF(Cat_Name,Rules!$D$191)=0),"Category is not on the Categories sheet - rows will fall to Review Required. ","")&amp;IF(Rules!$F$191="Broad","Broad scope - deliberately forces Review Required. ","")&amp;IF(Rules!$G$191&lt;&gt;"Yes","Rule is switched OFF. ","")&amp;IF(AND(Rules!$C$191&lt;&gt;"",Rules!$D$191=""),"Keyword with no category. ","")))</f>
        <v/>
      </c>
    </row>
    <row r="191" spans="2:8" x14ac:dyDescent="0.25">
      <c r="B191" s="73">
        <f>IF(Rules!$C$192="","",Rules!$B$192)</f>
        <v>200</v>
      </c>
      <c r="C191" s="143" t="str">
        <f>IF(Rules!$C$192="","",Rules!$C$192)</f>
        <v>AT&amp;T</v>
      </c>
      <c r="D191" s="143" t="str">
        <f>IF(Rules!$C$192="","",Rules!$D$192)</f>
        <v>Telephone &amp; Internet</v>
      </c>
      <c r="E191" s="73" t="str">
        <f>IF(Rules!$C$192="","",Rules!$E$192)</f>
        <v>Out</v>
      </c>
      <c r="F191" s="73" t="str">
        <f>IF(Rules!$C$192="","",Rules!$G$192)</f>
        <v>Yes</v>
      </c>
      <c r="G191" s="144">
        <v>192</v>
      </c>
      <c r="H191" s="145" t="str">
        <f>IF(Rules!$C$192="","",TRIM(IF(COUNTIFS(Rules_Key,Rules!$C$192,Rules_Dir,Rules!$E$192)&gt;1,"Duplicate keyword+direction. ","")&amp;IF(LEN(Rules!$C$192)&lt;5,"Keyword under 5 characters - matches too much. ","")&amp;IF(AND(Rules!$D$192&lt;&gt;"",COUNTIF(Cat_Name,Rules!$D$192)=0),"Category is not on the Categories sheet - rows will fall to Review Required. ","")&amp;IF(Rules!$F$192="Broad","Broad scope - deliberately forces Review Required. ","")&amp;IF(Rules!$G$192&lt;&gt;"Yes","Rule is switched OFF. ","")&amp;IF(AND(Rules!$C$192&lt;&gt;"",Rules!$D$192=""),"Keyword with no category. ","")))</f>
        <v>Keyword under 5 characters - matches too much.</v>
      </c>
    </row>
    <row r="192" spans="2:8" x14ac:dyDescent="0.25">
      <c r="B192" s="75">
        <f>IF(Rules!$C$193="","",Rules!$B$193)</f>
        <v>200</v>
      </c>
      <c r="C192" s="146" t="str">
        <f>IF(Rules!$C$193="","",Rules!$C$193)</f>
        <v>VERIZON</v>
      </c>
      <c r="D192" s="146" t="str">
        <f>IF(Rules!$C$193="","",Rules!$D$193)</f>
        <v>Telephone &amp; Internet</v>
      </c>
      <c r="E192" s="75" t="str">
        <f>IF(Rules!$C$193="","",Rules!$E$193)</f>
        <v>Out</v>
      </c>
      <c r="F192" s="75" t="str">
        <f>IF(Rules!$C$193="","",Rules!$G$193)</f>
        <v>Yes</v>
      </c>
      <c r="G192" s="147">
        <v>193</v>
      </c>
      <c r="H192" s="148" t="str">
        <f>IF(Rules!$C$193="","",TRIM(IF(COUNTIFS(Rules_Key,Rules!$C$193,Rules_Dir,Rules!$E$193)&gt;1,"Duplicate keyword+direction. ","")&amp;IF(LEN(Rules!$C$193)&lt;5,"Keyword under 5 characters - matches too much. ","")&amp;IF(AND(Rules!$D$193&lt;&gt;"",COUNTIF(Cat_Name,Rules!$D$193)=0),"Category is not on the Categories sheet - rows will fall to Review Required. ","")&amp;IF(Rules!$F$193="Broad","Broad scope - deliberately forces Review Required. ","")&amp;IF(Rules!$G$193&lt;&gt;"Yes","Rule is switched OFF. ","")&amp;IF(AND(Rules!$C$193&lt;&gt;"",Rules!$D$193=""),"Keyword with no category. ","")))</f>
        <v/>
      </c>
    </row>
    <row r="193" spans="2:8" x14ac:dyDescent="0.25">
      <c r="B193" s="73">
        <f>IF(Rules!$C$194="","",Rules!$B$194)</f>
        <v>200</v>
      </c>
      <c r="C193" s="143" t="str">
        <f>IF(Rules!$C$194="","",Rules!$C$194)</f>
        <v>SPECTRUM</v>
      </c>
      <c r="D193" s="143" t="str">
        <f>IF(Rules!$C$194="","",Rules!$D$194)</f>
        <v>Telephone &amp; Internet</v>
      </c>
      <c r="E193" s="73" t="str">
        <f>IF(Rules!$C$194="","",Rules!$E$194)</f>
        <v>Out</v>
      </c>
      <c r="F193" s="73" t="str">
        <f>IF(Rules!$C$194="","",Rules!$G$194)</f>
        <v>Yes</v>
      </c>
      <c r="G193" s="144">
        <v>194</v>
      </c>
      <c r="H193" s="145" t="str">
        <f>IF(Rules!$C$194="","",TRIM(IF(COUNTIFS(Rules_Key,Rules!$C$194,Rules_Dir,Rules!$E$194)&gt;1,"Duplicate keyword+direction. ","")&amp;IF(LEN(Rules!$C$194)&lt;5,"Keyword under 5 characters - matches too much. ","")&amp;IF(AND(Rules!$D$194&lt;&gt;"",COUNTIF(Cat_Name,Rules!$D$194)=0),"Category is not on the Categories sheet - rows will fall to Review Required. ","")&amp;IF(Rules!$F$194="Broad","Broad scope - deliberately forces Review Required. ","")&amp;IF(Rules!$G$194&lt;&gt;"Yes","Rule is switched OFF. ","")&amp;IF(AND(Rules!$C$194&lt;&gt;"",Rules!$D$194=""),"Keyword with no category. ","")))</f>
        <v/>
      </c>
    </row>
    <row r="194" spans="2:8" x14ac:dyDescent="0.25">
      <c r="B194" s="75">
        <f>IF(Rules!$C$195="","",Rules!$B$195)</f>
        <v>200</v>
      </c>
      <c r="C194" s="146" t="str">
        <f>IF(Rules!$C$195="","",Rules!$C$195)</f>
        <v>COMCAST</v>
      </c>
      <c r="D194" s="146" t="str">
        <f>IF(Rules!$C$195="","",Rules!$D$195)</f>
        <v>Telephone &amp; Internet</v>
      </c>
      <c r="E194" s="75" t="str">
        <f>IF(Rules!$C$195="","",Rules!$E$195)</f>
        <v>Out</v>
      </c>
      <c r="F194" s="75" t="str">
        <f>IF(Rules!$C$195="","",Rules!$G$195)</f>
        <v>Yes</v>
      </c>
      <c r="G194" s="147">
        <v>195</v>
      </c>
      <c r="H194" s="148" t="str">
        <f>IF(Rules!$C$195="","",TRIM(IF(COUNTIFS(Rules_Key,Rules!$C$195,Rules_Dir,Rules!$E$195)&gt;1,"Duplicate keyword+direction. ","")&amp;IF(LEN(Rules!$C$195)&lt;5,"Keyword under 5 characters - matches too much. ","")&amp;IF(AND(Rules!$D$195&lt;&gt;"",COUNTIF(Cat_Name,Rules!$D$195)=0),"Category is not on the Categories sheet - rows will fall to Review Required. ","")&amp;IF(Rules!$F$195="Broad","Broad scope - deliberately forces Review Required. ","")&amp;IF(Rules!$G$195&lt;&gt;"Yes","Rule is switched OFF. ","")&amp;IF(AND(Rules!$C$195&lt;&gt;"",Rules!$D$195=""),"Keyword with no category. ","")))</f>
        <v/>
      </c>
    </row>
    <row r="195" spans="2:8" x14ac:dyDescent="0.25">
      <c r="B195" s="73">
        <f>IF(Rules!$C$196="","",Rules!$B$196)</f>
        <v>200</v>
      </c>
      <c r="C195" s="143" t="str">
        <f>IF(Rules!$C$196="","",Rules!$C$196)</f>
        <v>RINGCENTRAL</v>
      </c>
      <c r="D195" s="143" t="str">
        <f>IF(Rules!$C$196="","",Rules!$D$196)</f>
        <v>Telephone &amp; Internet</v>
      </c>
      <c r="E195" s="73" t="str">
        <f>IF(Rules!$C$196="","",Rules!$E$196)</f>
        <v>Out</v>
      </c>
      <c r="F195" s="73" t="str">
        <f>IF(Rules!$C$196="","",Rules!$G$196)</f>
        <v>Yes</v>
      </c>
      <c r="G195" s="144">
        <v>196</v>
      </c>
      <c r="H195" s="145" t="str">
        <f>IF(Rules!$C$196="","",TRIM(IF(COUNTIFS(Rules_Key,Rules!$C$196,Rules_Dir,Rules!$E$196)&gt;1,"Duplicate keyword+direction. ","")&amp;IF(LEN(Rules!$C$196)&lt;5,"Keyword under 5 characters - matches too much. ","")&amp;IF(AND(Rules!$D$196&lt;&gt;"",COUNTIF(Cat_Name,Rules!$D$196)=0),"Category is not on the Categories sheet - rows will fall to Review Required. ","")&amp;IF(Rules!$F$196="Broad","Broad scope - deliberately forces Review Required. ","")&amp;IF(Rules!$G$196&lt;&gt;"Yes","Rule is switched OFF. ","")&amp;IF(AND(Rules!$C$196&lt;&gt;"",Rules!$D$196=""),"Keyword with no category. ","")))</f>
        <v/>
      </c>
    </row>
    <row r="196" spans="2:8" x14ac:dyDescent="0.25">
      <c r="B196" s="75">
        <f>IF(Rules!$C$197="","",Rules!$B$197)</f>
        <v>200</v>
      </c>
      <c r="C196" s="146" t="str">
        <f>IF(Rules!$C$197="","",Rules!$C$197)</f>
        <v>ANSWERING SERV</v>
      </c>
      <c r="D196" s="146" t="str">
        <f>IF(Rules!$C$197="","",Rules!$D$197)</f>
        <v>Answering Service / After-Hours Coverage</v>
      </c>
      <c r="E196" s="75" t="str">
        <f>IF(Rules!$C$197="","",Rules!$E$197)</f>
        <v>Out</v>
      </c>
      <c r="F196" s="75" t="str">
        <f>IF(Rules!$C$197="","",Rules!$G$197)</f>
        <v>Yes</v>
      </c>
      <c r="G196" s="147">
        <v>197</v>
      </c>
      <c r="H196" s="148" t="str">
        <f>IF(Rules!$C$197="","",TRIM(IF(COUNTIFS(Rules_Key,Rules!$C$197,Rules_Dir,Rules!$E$197)&gt;1,"Duplicate keyword+direction. ","")&amp;IF(LEN(Rules!$C$197)&lt;5,"Keyword under 5 characters - matches too much. ","")&amp;IF(AND(Rules!$D$197&lt;&gt;"",COUNTIF(Cat_Name,Rules!$D$197)=0),"Category is not on the Categories sheet - rows will fall to Review Required. ","")&amp;IF(Rules!$F$197="Broad","Broad scope - deliberately forces Review Required. ","")&amp;IF(Rules!$G$197&lt;&gt;"Yes","Rule is switched OFF. ","")&amp;IF(AND(Rules!$C$197&lt;&gt;"",Rules!$D$197=""),"Keyword with no category. ","")))</f>
        <v/>
      </c>
    </row>
    <row r="197" spans="2:8" x14ac:dyDescent="0.25">
      <c r="B197" s="73">
        <f>IF(Rules!$C$198="","",Rules!$B$198)</f>
        <v>200</v>
      </c>
      <c r="C197" s="143" t="str">
        <f>IF(Rules!$C$198="","",Rules!$C$198)</f>
        <v>PROPERTY MGMT</v>
      </c>
      <c r="D197" s="143" t="str">
        <f>IF(Rules!$C$198="","",Rules!$D$198)</f>
        <v>Rent - Office / Clinic</v>
      </c>
      <c r="E197" s="73" t="str">
        <f>IF(Rules!$C$198="","",Rules!$E$198)</f>
        <v>Out</v>
      </c>
      <c r="F197" s="73" t="str">
        <f>IF(Rules!$C$198="","",Rules!$G$198)</f>
        <v>Yes</v>
      </c>
      <c r="G197" s="144">
        <v>198</v>
      </c>
      <c r="H197" s="145" t="str">
        <f>IF(Rules!$C$198="","",TRIM(IF(COUNTIFS(Rules_Key,Rules!$C$198,Rules_Dir,Rules!$E$198)&gt;1,"Duplicate keyword+direction. ","")&amp;IF(LEN(Rules!$C$198)&lt;5,"Keyword under 5 characters - matches too much. ","")&amp;IF(AND(Rules!$D$198&lt;&gt;"",COUNTIF(Cat_Name,Rules!$D$198)=0),"Category is not on the Categories sheet - rows will fall to Review Required. ","")&amp;IF(Rules!$F$198="Broad","Broad scope - deliberately forces Review Required. ","")&amp;IF(Rules!$G$198&lt;&gt;"Yes","Rule is switched OFF. ","")&amp;IF(AND(Rules!$C$198&lt;&gt;"",Rules!$D$198=""),"Keyword with no category. ","")))</f>
        <v/>
      </c>
    </row>
    <row r="198" spans="2:8" x14ac:dyDescent="0.25">
      <c r="B198" s="75">
        <f>IF(Rules!$C$199="","",Rules!$B$199)</f>
        <v>400</v>
      </c>
      <c r="C198" s="146" t="str">
        <f>IF(Rules!$C$199="","",Rules!$C$199)</f>
        <v>RENT</v>
      </c>
      <c r="D198" s="146" t="str">
        <f>IF(Rules!$C$199="","",Rules!$D$199)</f>
        <v>Rent - Office / Clinic</v>
      </c>
      <c r="E198" s="75" t="str">
        <f>IF(Rules!$C$199="","",Rules!$E$199)</f>
        <v>Out</v>
      </c>
      <c r="F198" s="75" t="str">
        <f>IF(Rules!$C$199="","",Rules!$G$199)</f>
        <v>No</v>
      </c>
      <c r="G198" s="147">
        <v>199</v>
      </c>
      <c r="H198" s="148" t="str">
        <f>IF(Rules!$C$199="","",TRIM(IF(COUNTIFS(Rules_Key,Rules!$C$199,Rules_Dir,Rules!$E$199)&gt;1,"Duplicate keyword+direction. ","")&amp;IF(LEN(Rules!$C$199)&lt;5,"Keyword under 5 characters - matches too much. ","")&amp;IF(AND(Rules!$D$199&lt;&gt;"",COUNTIF(Cat_Name,Rules!$D$199)=0),"Category is not on the Categories sheet - rows will fall to Review Required. ","")&amp;IF(Rules!$F$199="Broad","Broad scope - deliberately forces Review Required. ","")&amp;IF(Rules!$G$199&lt;&gt;"Yes","Rule is switched OFF. ","")&amp;IF(AND(Rules!$C$199&lt;&gt;"",Rules!$D$199=""),"Keyword with no category. ","")))</f>
        <v>Keyword under 5 characters - matches too much. Rule is switched OFF.</v>
      </c>
    </row>
    <row r="199" spans="2:8" x14ac:dyDescent="0.25">
      <c r="B199" s="73">
        <f>IF(Rules!$C$200="","",Rules!$B$200)</f>
        <v>200</v>
      </c>
      <c r="C199" s="143" t="str">
        <f>IF(Rules!$C$200="","",Rules!$C$200)</f>
        <v>STAPLES</v>
      </c>
      <c r="D199" s="143" t="str">
        <f>IF(Rules!$C$200="","",Rules!$D$200)</f>
        <v>Office Supplies &amp; Printing</v>
      </c>
      <c r="E199" s="73" t="str">
        <f>IF(Rules!$C$200="","",Rules!$E$200)</f>
        <v>Out</v>
      </c>
      <c r="F199" s="73" t="str">
        <f>IF(Rules!$C$200="","",Rules!$G$200)</f>
        <v>Yes</v>
      </c>
      <c r="G199" s="144">
        <v>200</v>
      </c>
      <c r="H199" s="145" t="str">
        <f>IF(Rules!$C$200="","",TRIM(IF(COUNTIFS(Rules_Key,Rules!$C$200,Rules_Dir,Rules!$E$200)&gt;1,"Duplicate keyword+direction. ","")&amp;IF(LEN(Rules!$C$200)&lt;5,"Keyword under 5 characters - matches too much. ","")&amp;IF(AND(Rules!$D$200&lt;&gt;"",COUNTIF(Cat_Name,Rules!$D$200)=0),"Category is not on the Categories sheet - rows will fall to Review Required. ","")&amp;IF(Rules!$F$200="Broad","Broad scope - deliberately forces Review Required. ","")&amp;IF(Rules!$G$200&lt;&gt;"Yes","Rule is switched OFF. ","")&amp;IF(AND(Rules!$C$200&lt;&gt;"",Rules!$D$200=""),"Keyword with no category. ","")))</f>
        <v/>
      </c>
    </row>
    <row r="200" spans="2:8" x14ac:dyDescent="0.25">
      <c r="B200" s="75">
        <f>IF(Rules!$C$201="","",Rules!$B$201)</f>
        <v>200</v>
      </c>
      <c r="C200" s="146" t="str">
        <f>IF(Rules!$C$201="","",Rules!$C$201)</f>
        <v>OFFICE DEPOT</v>
      </c>
      <c r="D200" s="146" t="str">
        <f>IF(Rules!$C$201="","",Rules!$D$201)</f>
        <v>Office Supplies &amp; Printing</v>
      </c>
      <c r="E200" s="75" t="str">
        <f>IF(Rules!$C$201="","",Rules!$E$201)</f>
        <v>Out</v>
      </c>
      <c r="F200" s="75" t="str">
        <f>IF(Rules!$C$201="","",Rules!$G$201)</f>
        <v>Yes</v>
      </c>
      <c r="G200" s="147">
        <v>201</v>
      </c>
      <c r="H200" s="148" t="str">
        <f>IF(Rules!$C$201="","",TRIM(IF(COUNTIFS(Rules_Key,Rules!$C$201,Rules_Dir,Rules!$E$201)&gt;1,"Duplicate keyword+direction. ","")&amp;IF(LEN(Rules!$C$201)&lt;5,"Keyword under 5 characters - matches too much. ","")&amp;IF(AND(Rules!$D$201&lt;&gt;"",COUNTIF(Cat_Name,Rules!$D$201)=0),"Category is not on the Categories sheet - rows will fall to Review Required. ","")&amp;IF(Rules!$F$201="Broad","Broad scope - deliberately forces Review Required. ","")&amp;IF(Rules!$G$201&lt;&gt;"Yes","Rule is switched OFF. ","")&amp;IF(AND(Rules!$C$201&lt;&gt;"",Rules!$D$201=""),"Keyword with no category. ","")))</f>
        <v/>
      </c>
    </row>
    <row r="201" spans="2:8" x14ac:dyDescent="0.25">
      <c r="B201" s="73">
        <f>IF(Rules!$C$202="","",Rules!$B$202)</f>
        <v>200</v>
      </c>
      <c r="C201" s="143" t="str">
        <f>IF(Rules!$C$202="","",Rules!$C$202)</f>
        <v>USPS</v>
      </c>
      <c r="D201" s="143" t="str">
        <f>IF(Rules!$C$202="","",Rules!$D$202)</f>
        <v>Postage &amp; Shipping</v>
      </c>
      <c r="E201" s="73" t="str">
        <f>IF(Rules!$C$202="","",Rules!$E$202)</f>
        <v>Out</v>
      </c>
      <c r="F201" s="73" t="str">
        <f>IF(Rules!$C$202="","",Rules!$G$202)</f>
        <v>Yes</v>
      </c>
      <c r="G201" s="144">
        <v>202</v>
      </c>
      <c r="H201" s="145" t="str">
        <f>IF(Rules!$C$202="","",TRIM(IF(COUNTIFS(Rules_Key,Rules!$C$202,Rules_Dir,Rules!$E$202)&gt;1,"Duplicate keyword+direction. ","")&amp;IF(LEN(Rules!$C$202)&lt;5,"Keyword under 5 characters - matches too much. ","")&amp;IF(AND(Rules!$D$202&lt;&gt;"",COUNTIF(Cat_Name,Rules!$D$202)=0),"Category is not on the Categories sheet - rows will fall to Review Required. ","")&amp;IF(Rules!$F$202="Broad","Broad scope - deliberately forces Review Required. ","")&amp;IF(Rules!$G$202&lt;&gt;"Yes","Rule is switched OFF. ","")&amp;IF(AND(Rules!$C$202&lt;&gt;"",Rules!$D$202=""),"Keyword with no category. ","")))</f>
        <v>Keyword under 5 characters - matches too much.</v>
      </c>
    </row>
    <row r="202" spans="2:8" x14ac:dyDescent="0.25">
      <c r="B202" s="75">
        <f>IF(Rules!$C$203="","",Rules!$B$203)</f>
        <v>200</v>
      </c>
      <c r="C202" s="146" t="str">
        <f>IF(Rules!$C$203="","",Rules!$C$203)</f>
        <v>FEDEX</v>
      </c>
      <c r="D202" s="146" t="str">
        <f>IF(Rules!$C$203="","",Rules!$D$203)</f>
        <v>Postage &amp; Shipping</v>
      </c>
      <c r="E202" s="75" t="str">
        <f>IF(Rules!$C$203="","",Rules!$E$203)</f>
        <v>Out</v>
      </c>
      <c r="F202" s="75" t="str">
        <f>IF(Rules!$C$203="","",Rules!$G$203)</f>
        <v>Yes</v>
      </c>
      <c r="G202" s="147">
        <v>203</v>
      </c>
      <c r="H202" s="148" t="str">
        <f>IF(Rules!$C$203="","",TRIM(IF(COUNTIFS(Rules_Key,Rules!$C$203,Rules_Dir,Rules!$E$203)&gt;1,"Duplicate keyword+direction. ","")&amp;IF(LEN(Rules!$C$203)&lt;5,"Keyword under 5 characters - matches too much. ","")&amp;IF(AND(Rules!$D$203&lt;&gt;"",COUNTIF(Cat_Name,Rules!$D$203)=0),"Category is not on the Categories sheet - rows will fall to Review Required. ","")&amp;IF(Rules!$F$203="Broad","Broad scope - deliberately forces Review Required. ","")&amp;IF(Rules!$G$203&lt;&gt;"Yes","Rule is switched OFF. ","")&amp;IF(AND(Rules!$C$203&lt;&gt;"",Rules!$D$203=""),"Keyword with no category. ","")))</f>
        <v/>
      </c>
    </row>
    <row r="203" spans="2:8" x14ac:dyDescent="0.25">
      <c r="B203" s="73">
        <f>IF(Rules!$C$204="","",Rules!$B$204)</f>
        <v>200</v>
      </c>
      <c r="C203" s="143" t="str">
        <f>IF(Rules!$C$204="","",Rules!$C$204)</f>
        <v>UPS STORE</v>
      </c>
      <c r="D203" s="143" t="str">
        <f>IF(Rules!$C$204="","",Rules!$D$204)</f>
        <v>Postage &amp; Shipping</v>
      </c>
      <c r="E203" s="73" t="str">
        <f>IF(Rules!$C$204="","",Rules!$E$204)</f>
        <v>Out</v>
      </c>
      <c r="F203" s="73" t="str">
        <f>IF(Rules!$C$204="","",Rules!$G$204)</f>
        <v>Yes</v>
      </c>
      <c r="G203" s="144">
        <v>204</v>
      </c>
      <c r="H203" s="145" t="str">
        <f>IF(Rules!$C$204="","",TRIM(IF(COUNTIFS(Rules_Key,Rules!$C$204,Rules_Dir,Rules!$E$204)&gt;1,"Duplicate keyword+direction. ","")&amp;IF(LEN(Rules!$C$204)&lt;5,"Keyword under 5 characters - matches too much. ","")&amp;IF(AND(Rules!$D$204&lt;&gt;"",COUNTIF(Cat_Name,Rules!$D$204)=0),"Category is not on the Categories sheet - rows will fall to Review Required. ","")&amp;IF(Rules!$F$204="Broad","Broad scope - deliberately forces Review Required. ","")&amp;IF(Rules!$G$204&lt;&gt;"Yes","Rule is switched OFF. ","")&amp;IF(AND(Rules!$C$204&lt;&gt;"",Rules!$D$204=""),"Keyword with no category. ","")))</f>
        <v/>
      </c>
    </row>
    <row r="204" spans="2:8" x14ac:dyDescent="0.25">
      <c r="B204" s="75">
        <f>IF(Rules!$C$205="","",Rules!$B$205)</f>
        <v>200</v>
      </c>
      <c r="C204" s="146" t="str">
        <f>IF(Rules!$C$205="","",Rules!$C$205)</f>
        <v>STAMPS.COM</v>
      </c>
      <c r="D204" s="146" t="str">
        <f>IF(Rules!$C$205="","",Rules!$D$205)</f>
        <v>Postage &amp; Shipping</v>
      </c>
      <c r="E204" s="75" t="str">
        <f>IF(Rules!$C$205="","",Rules!$E$205)</f>
        <v>Out</v>
      </c>
      <c r="F204" s="75" t="str">
        <f>IF(Rules!$C$205="","",Rules!$G$205)</f>
        <v>Yes</v>
      </c>
      <c r="G204" s="147">
        <v>205</v>
      </c>
      <c r="H204" s="148" t="str">
        <f>IF(Rules!$C$205="","",TRIM(IF(COUNTIFS(Rules_Key,Rules!$C$205,Rules_Dir,Rules!$E$205)&gt;1,"Duplicate keyword+direction. ","")&amp;IF(LEN(Rules!$C$205)&lt;5,"Keyword under 5 characters - matches too much. ","")&amp;IF(AND(Rules!$D$205&lt;&gt;"",COUNTIF(Cat_Name,Rules!$D$205)=0),"Category is not on the Categories sheet - rows will fall to Review Required. ","")&amp;IF(Rules!$F$205="Broad","Broad scope - deliberately forces Review Required. ","")&amp;IF(Rules!$G$205&lt;&gt;"Yes","Rule is switched OFF. ","")&amp;IF(AND(Rules!$C$205&lt;&gt;"",Rules!$D$205=""),"Keyword with no category. ","")))</f>
        <v/>
      </c>
    </row>
    <row r="205" spans="2:8" x14ac:dyDescent="0.25">
      <c r="B205" s="73">
        <f>IF(Rules!$C$206="","",Rules!$B$206)</f>
        <v>200</v>
      </c>
      <c r="C205" s="143" t="str">
        <f>IF(Rules!$C$206="","",Rules!$C$206)</f>
        <v>PITNEY BOWES</v>
      </c>
      <c r="D205" s="143" t="str">
        <f>IF(Rules!$C$206="","",Rules!$D$206)</f>
        <v>Postage &amp; Shipping</v>
      </c>
      <c r="E205" s="73" t="str">
        <f>IF(Rules!$C$206="","",Rules!$E$206)</f>
        <v>Out</v>
      </c>
      <c r="F205" s="73" t="str">
        <f>IF(Rules!$C$206="","",Rules!$G$206)</f>
        <v>Yes</v>
      </c>
      <c r="G205" s="144">
        <v>206</v>
      </c>
      <c r="H205" s="145" t="str">
        <f>IF(Rules!$C$206="","",TRIM(IF(COUNTIFS(Rules_Key,Rules!$C$206,Rules_Dir,Rules!$E$206)&gt;1,"Duplicate keyword+direction. ","")&amp;IF(LEN(Rules!$C$206)&lt;5,"Keyword under 5 characters - matches too much. ","")&amp;IF(AND(Rules!$D$206&lt;&gt;"",COUNTIF(Cat_Name,Rules!$D$206)=0),"Category is not on the Categories sheet - rows will fall to Review Required. ","")&amp;IF(Rules!$F$206="Broad","Broad scope - deliberately forces Review Required. ","")&amp;IF(Rules!$G$206&lt;&gt;"Yes","Rule is switched OFF. ","")&amp;IF(AND(Rules!$C$206&lt;&gt;"",Rules!$D$206=""),"Keyword with no category. ","")))</f>
        <v/>
      </c>
    </row>
    <row r="206" spans="2:8" x14ac:dyDescent="0.25">
      <c r="B206" s="75">
        <f>IF(Rules!$C$207="","",Rules!$B$207)</f>
        <v>200</v>
      </c>
      <c r="C206" s="146" t="str">
        <f>IF(Rules!$C$207="","",Rules!$C$207)</f>
        <v>GOOGLE ADS</v>
      </c>
      <c r="D206" s="146" t="str">
        <f>IF(Rules!$C$207="","",Rules!$D$207)</f>
        <v>Marketing &amp; Advertising</v>
      </c>
      <c r="E206" s="75" t="str">
        <f>IF(Rules!$C$207="","",Rules!$E$207)</f>
        <v>Out</v>
      </c>
      <c r="F206" s="75" t="str">
        <f>IF(Rules!$C$207="","",Rules!$G$207)</f>
        <v>Yes</v>
      </c>
      <c r="G206" s="147">
        <v>207</v>
      </c>
      <c r="H206" s="148" t="str">
        <f>IF(Rules!$C$207="","",TRIM(IF(COUNTIFS(Rules_Key,Rules!$C$207,Rules_Dir,Rules!$E$207)&gt;1,"Duplicate keyword+direction. ","")&amp;IF(LEN(Rules!$C$207)&lt;5,"Keyword under 5 characters - matches too much. ","")&amp;IF(AND(Rules!$D$207&lt;&gt;"",COUNTIF(Cat_Name,Rules!$D$207)=0),"Category is not on the Categories sheet - rows will fall to Review Required. ","")&amp;IF(Rules!$F$207="Broad","Broad scope - deliberately forces Review Required. ","")&amp;IF(Rules!$G$207&lt;&gt;"Yes","Rule is switched OFF. ","")&amp;IF(AND(Rules!$C$207&lt;&gt;"",Rules!$D$207=""),"Keyword with no category. ","")))</f>
        <v/>
      </c>
    </row>
    <row r="207" spans="2:8" x14ac:dyDescent="0.25">
      <c r="B207" s="73">
        <f>IF(Rules!$C$208="","",Rules!$B$208)</f>
        <v>200</v>
      </c>
      <c r="C207" s="143" t="str">
        <f>IF(Rules!$C$208="","",Rules!$C$208)</f>
        <v>META PLATFORMS</v>
      </c>
      <c r="D207" s="143" t="str">
        <f>IF(Rules!$C$208="","",Rules!$D$208)</f>
        <v>Marketing &amp; Advertising</v>
      </c>
      <c r="E207" s="73" t="str">
        <f>IF(Rules!$C$208="","",Rules!$E$208)</f>
        <v>Out</v>
      </c>
      <c r="F207" s="73" t="str">
        <f>IF(Rules!$C$208="","",Rules!$G$208)</f>
        <v>Yes</v>
      </c>
      <c r="G207" s="144">
        <v>208</v>
      </c>
      <c r="H207" s="145" t="str">
        <f>IF(Rules!$C$208="","",TRIM(IF(COUNTIFS(Rules_Key,Rules!$C$208,Rules_Dir,Rules!$E$208)&gt;1,"Duplicate keyword+direction. ","")&amp;IF(LEN(Rules!$C$208)&lt;5,"Keyword under 5 characters - matches too much. ","")&amp;IF(AND(Rules!$D$208&lt;&gt;"",COUNTIF(Cat_Name,Rules!$D$208)=0),"Category is not on the Categories sheet - rows will fall to Review Required. ","")&amp;IF(Rules!$F$208="Broad","Broad scope - deliberately forces Review Required. ","")&amp;IF(Rules!$G$208&lt;&gt;"Yes","Rule is switched OFF. ","")&amp;IF(AND(Rules!$C$208&lt;&gt;"",Rules!$D$208=""),"Keyword with no category. ","")))</f>
        <v/>
      </c>
    </row>
    <row r="208" spans="2:8" x14ac:dyDescent="0.25">
      <c r="B208" s="75">
        <f>IF(Rules!$C$209="","",Rules!$B$209)</f>
        <v>200</v>
      </c>
      <c r="C208" s="146" t="str">
        <f>IF(Rules!$C$209="","",Rules!$C$209)</f>
        <v>ZOCDOC</v>
      </c>
      <c r="D208" s="146" t="str">
        <f>IF(Rules!$C$209="","",Rules!$D$209)</f>
        <v>Marketing &amp; Advertising</v>
      </c>
      <c r="E208" s="75" t="str">
        <f>IF(Rules!$C$209="","",Rules!$E$209)</f>
        <v>Out</v>
      </c>
      <c r="F208" s="75" t="str">
        <f>IF(Rules!$C$209="","",Rules!$G$209)</f>
        <v>Yes</v>
      </c>
      <c r="G208" s="147">
        <v>209</v>
      </c>
      <c r="H208" s="148" t="str">
        <f>IF(Rules!$C$209="","",TRIM(IF(COUNTIFS(Rules_Key,Rules!$C$209,Rules_Dir,Rules!$E$209)&gt;1,"Duplicate keyword+direction. ","")&amp;IF(LEN(Rules!$C$209)&lt;5,"Keyword under 5 characters - matches too much. ","")&amp;IF(AND(Rules!$D$209&lt;&gt;"",COUNTIF(Cat_Name,Rules!$D$209)=0),"Category is not on the Categories sheet - rows will fall to Review Required. ","")&amp;IF(Rules!$F$209="Broad","Broad scope - deliberately forces Review Required. ","")&amp;IF(Rules!$G$209&lt;&gt;"Yes","Rule is switched OFF. ","")&amp;IF(AND(Rules!$C$209&lt;&gt;"",Rules!$D$209=""),"Keyword with no category. ","")))</f>
        <v/>
      </c>
    </row>
    <row r="209" spans="2:8" x14ac:dyDescent="0.25">
      <c r="B209" s="73">
        <f>IF(Rules!$C$210="","",Rules!$B$210)</f>
        <v>200</v>
      </c>
      <c r="C209" s="143" t="str">
        <f>IF(Rules!$C$210="","",Rules!$C$210)</f>
        <v>HEALTHGRADES</v>
      </c>
      <c r="D209" s="143" t="str">
        <f>IF(Rules!$C$210="","",Rules!$D$210)</f>
        <v>Marketing &amp; Advertising</v>
      </c>
      <c r="E209" s="73" t="str">
        <f>IF(Rules!$C$210="","",Rules!$E$210)</f>
        <v>Out</v>
      </c>
      <c r="F209" s="73" t="str">
        <f>IF(Rules!$C$210="","",Rules!$G$210)</f>
        <v>Yes</v>
      </c>
      <c r="G209" s="144">
        <v>210</v>
      </c>
      <c r="H209" s="145" t="str">
        <f>IF(Rules!$C$210="","",TRIM(IF(COUNTIFS(Rules_Key,Rules!$C$210,Rules_Dir,Rules!$E$210)&gt;1,"Duplicate keyword+direction. ","")&amp;IF(LEN(Rules!$C$210)&lt;5,"Keyword under 5 characters - matches too much. ","")&amp;IF(AND(Rules!$D$210&lt;&gt;"",COUNTIF(Cat_Name,Rules!$D$210)=0),"Category is not on the Categories sheet - rows will fall to Review Required. ","")&amp;IF(Rules!$F$210="Broad","Broad scope - deliberately forces Review Required. ","")&amp;IF(Rules!$G$210&lt;&gt;"Yes","Rule is switched OFF. ","")&amp;IF(AND(Rules!$C$210&lt;&gt;"",Rules!$D$210=""),"Keyword with no category. ","")))</f>
        <v/>
      </c>
    </row>
    <row r="210" spans="2:8" x14ac:dyDescent="0.25">
      <c r="B210" s="75">
        <f>IF(Rules!$C$211="","",Rules!$B$211)</f>
        <v>200</v>
      </c>
      <c r="C210" s="146" t="str">
        <f>IF(Rules!$C$211="","",Rules!$C$211)</f>
        <v>GODADDY</v>
      </c>
      <c r="D210" s="146" t="str">
        <f>IF(Rules!$C$211="","",Rules!$D$211)</f>
        <v>Website &amp; Hosting</v>
      </c>
      <c r="E210" s="75" t="str">
        <f>IF(Rules!$C$211="","",Rules!$E$211)</f>
        <v>Out</v>
      </c>
      <c r="F210" s="75" t="str">
        <f>IF(Rules!$C$211="","",Rules!$G$211)</f>
        <v>Yes</v>
      </c>
      <c r="G210" s="147">
        <v>211</v>
      </c>
      <c r="H210" s="148" t="str">
        <f>IF(Rules!$C$211="","",TRIM(IF(COUNTIFS(Rules_Key,Rules!$C$211,Rules_Dir,Rules!$E$211)&gt;1,"Duplicate keyword+direction. ","")&amp;IF(LEN(Rules!$C$211)&lt;5,"Keyword under 5 characters - matches too much. ","")&amp;IF(AND(Rules!$D$211&lt;&gt;"",COUNTIF(Cat_Name,Rules!$D$211)=0),"Category is not on the Categories sheet - rows will fall to Review Required. ","")&amp;IF(Rules!$F$211="Broad","Broad scope - deliberately forces Review Required. ","")&amp;IF(Rules!$G$211&lt;&gt;"Yes","Rule is switched OFF. ","")&amp;IF(AND(Rules!$C$211&lt;&gt;"",Rules!$D$211=""),"Keyword with no category. ","")))</f>
        <v/>
      </c>
    </row>
    <row r="211" spans="2:8" x14ac:dyDescent="0.25">
      <c r="B211" s="73">
        <f>IF(Rules!$C$212="","",Rules!$B$212)</f>
        <v>200</v>
      </c>
      <c r="C211" s="143" t="str">
        <f>IF(Rules!$C$212="","",Rules!$C$212)</f>
        <v>SQUARESPACE</v>
      </c>
      <c r="D211" s="143" t="str">
        <f>IF(Rules!$C$212="","",Rules!$D$212)</f>
        <v>Website &amp; Hosting</v>
      </c>
      <c r="E211" s="73" t="str">
        <f>IF(Rules!$C$212="","",Rules!$E$212)</f>
        <v>Out</v>
      </c>
      <c r="F211" s="73" t="str">
        <f>IF(Rules!$C$212="","",Rules!$G$212)</f>
        <v>Yes</v>
      </c>
      <c r="G211" s="144">
        <v>212</v>
      </c>
      <c r="H211" s="145" t="str">
        <f>IF(Rules!$C$212="","",TRIM(IF(COUNTIFS(Rules_Key,Rules!$C$212,Rules_Dir,Rules!$E$212)&gt;1,"Duplicate keyword+direction. ","")&amp;IF(LEN(Rules!$C$212)&lt;5,"Keyword under 5 characters - matches too much. ","")&amp;IF(AND(Rules!$D$212&lt;&gt;"",COUNTIF(Cat_Name,Rules!$D$212)=0),"Category is not on the Categories sheet - rows will fall to Review Required. ","")&amp;IF(Rules!$F$212="Broad","Broad scope - deliberately forces Review Required. ","")&amp;IF(Rules!$G$212&lt;&gt;"Yes","Rule is switched OFF. ","")&amp;IF(AND(Rules!$C$212&lt;&gt;"",Rules!$D$212=""),"Keyword with no category. ","")))</f>
        <v/>
      </c>
    </row>
    <row r="212" spans="2:8" x14ac:dyDescent="0.25">
      <c r="B212" s="75">
        <f>IF(Rules!$C$213="","",Rules!$B$213)</f>
        <v>200</v>
      </c>
      <c r="C212" s="146" t="str">
        <f>IF(Rules!$C$213="","",Rules!$C$213)</f>
        <v>MAILCHIMP</v>
      </c>
      <c r="D212" s="146" t="str">
        <f>IF(Rules!$C$213="","",Rules!$D$213)</f>
        <v>Patient Communications &amp; Reviews</v>
      </c>
      <c r="E212" s="75" t="str">
        <f>IF(Rules!$C$213="","",Rules!$E$213)</f>
        <v>Out</v>
      </c>
      <c r="F212" s="75" t="str">
        <f>IF(Rules!$C$213="","",Rules!$G$213)</f>
        <v>Yes</v>
      </c>
      <c r="G212" s="147">
        <v>213</v>
      </c>
      <c r="H212" s="148" t="str">
        <f>IF(Rules!$C$213="","",TRIM(IF(COUNTIFS(Rules_Key,Rules!$C$213,Rules_Dir,Rules!$E$213)&gt;1,"Duplicate keyword+direction. ","")&amp;IF(LEN(Rules!$C$213)&lt;5,"Keyword under 5 characters - matches too much. ","")&amp;IF(AND(Rules!$D$213&lt;&gt;"",COUNTIF(Cat_Name,Rules!$D$213)=0),"Category is not on the Categories sheet - rows will fall to Review Required. ","")&amp;IF(Rules!$F$213="Broad","Broad scope - deliberately forces Review Required. ","")&amp;IF(Rules!$G$213&lt;&gt;"Yes","Rule is switched OFF. ","")&amp;IF(AND(Rules!$C$213&lt;&gt;"",Rules!$D$213=""),"Keyword with no category. ","")))</f>
        <v/>
      </c>
    </row>
    <row r="213" spans="2:8" x14ac:dyDescent="0.25">
      <c r="B213" s="73">
        <f>IF(Rules!$C$214="","",Rules!$B$214)</f>
        <v>200</v>
      </c>
      <c r="C213" s="143" t="str">
        <f>IF(Rules!$C$214="","",Rules!$C$214)</f>
        <v>WEAVE</v>
      </c>
      <c r="D213" s="143" t="str">
        <f>IF(Rules!$C$214="","",Rules!$D$214)</f>
        <v>Patient Communications &amp; Reviews</v>
      </c>
      <c r="E213" s="73" t="str">
        <f>IF(Rules!$C$214="","",Rules!$E$214)</f>
        <v>Out</v>
      </c>
      <c r="F213" s="73" t="str">
        <f>IF(Rules!$C$214="","",Rules!$G$214)</f>
        <v>Yes</v>
      </c>
      <c r="G213" s="144">
        <v>214</v>
      </c>
      <c r="H213" s="145" t="str">
        <f>IF(Rules!$C$214="","",TRIM(IF(COUNTIFS(Rules_Key,Rules!$C$214,Rules_Dir,Rules!$E$214)&gt;1,"Duplicate keyword+direction. ","")&amp;IF(LEN(Rules!$C$214)&lt;5,"Keyword under 5 characters - matches too much. ","")&amp;IF(AND(Rules!$D$214&lt;&gt;"",COUNTIF(Cat_Name,Rules!$D$214)=0),"Category is not on the Categories sheet - rows will fall to Review Required. ","")&amp;IF(Rules!$F$214="Broad","Broad scope - deliberately forces Review Required. ","")&amp;IF(Rules!$G$214&lt;&gt;"Yes","Rule is switched OFF. ","")&amp;IF(AND(Rules!$C$214&lt;&gt;"",Rules!$D$214=""),"Keyword with no category. ","")))</f>
        <v/>
      </c>
    </row>
    <row r="214" spans="2:8" x14ac:dyDescent="0.25">
      <c r="B214" s="75">
        <f>IF(Rules!$C$215="","",Rules!$B$215)</f>
        <v>200</v>
      </c>
      <c r="C214" s="146" t="str">
        <f>IF(Rules!$C$215="","",Rules!$C$215)</f>
        <v>PARKING</v>
      </c>
      <c r="D214" s="146" t="str">
        <f>IF(Rules!$C$215="","",Rules!$D$215)</f>
        <v>Parking &amp; Tolls</v>
      </c>
      <c r="E214" s="75" t="str">
        <f>IF(Rules!$C$215="","",Rules!$E$215)</f>
        <v>Out</v>
      </c>
      <c r="F214" s="75" t="str">
        <f>IF(Rules!$C$215="","",Rules!$G$215)</f>
        <v>Yes</v>
      </c>
      <c r="G214" s="147">
        <v>215</v>
      </c>
      <c r="H214" s="148" t="str">
        <f>IF(Rules!$C$215="","",TRIM(IF(COUNTIFS(Rules_Key,Rules!$C$215,Rules_Dir,Rules!$E$215)&gt;1,"Duplicate keyword+direction. ","")&amp;IF(LEN(Rules!$C$215)&lt;5,"Keyword under 5 characters - matches too much. ","")&amp;IF(AND(Rules!$D$215&lt;&gt;"",COUNTIF(Cat_Name,Rules!$D$215)=0),"Category is not on the Categories sheet - rows will fall to Review Required. ","")&amp;IF(Rules!$F$215="Broad","Broad scope - deliberately forces Review Required. ","")&amp;IF(Rules!$G$215&lt;&gt;"Yes","Rule is switched OFF. ","")&amp;IF(AND(Rules!$C$215&lt;&gt;"",Rules!$D$215=""),"Keyword with no category. ","")))</f>
        <v/>
      </c>
    </row>
    <row r="215" spans="2:8" x14ac:dyDescent="0.25">
      <c r="B215" s="73">
        <f>IF(Rules!$C$216="","",Rules!$B$216)</f>
        <v>200</v>
      </c>
      <c r="C215" s="143" t="str">
        <f>IF(Rules!$C$216="","",Rules!$C$216)</f>
        <v>EZ TAG</v>
      </c>
      <c r="D215" s="143" t="str">
        <f>IF(Rules!$C$216="","",Rules!$D$216)</f>
        <v>Parking &amp; Tolls</v>
      </c>
      <c r="E215" s="73" t="str">
        <f>IF(Rules!$C$216="","",Rules!$E$216)</f>
        <v>Out</v>
      </c>
      <c r="F215" s="73" t="str">
        <f>IF(Rules!$C$216="","",Rules!$G$216)</f>
        <v>Yes</v>
      </c>
      <c r="G215" s="144">
        <v>216</v>
      </c>
      <c r="H215" s="145" t="str">
        <f>IF(Rules!$C$216="","",TRIM(IF(COUNTIFS(Rules_Key,Rules!$C$216,Rules_Dir,Rules!$E$216)&gt;1,"Duplicate keyword+direction. ","")&amp;IF(LEN(Rules!$C$216)&lt;5,"Keyword under 5 characters - matches too much. ","")&amp;IF(AND(Rules!$D$216&lt;&gt;"",COUNTIF(Cat_Name,Rules!$D$216)=0),"Category is not on the Categories sheet - rows will fall to Review Required. ","")&amp;IF(Rules!$F$216="Broad","Broad scope - deliberately forces Review Required. ","")&amp;IF(Rules!$G$216&lt;&gt;"Yes","Rule is switched OFF. ","")&amp;IF(AND(Rules!$C$216&lt;&gt;"",Rules!$D$216=""),"Keyword with no category. ","")))</f>
        <v/>
      </c>
    </row>
    <row r="216" spans="2:8" x14ac:dyDescent="0.25">
      <c r="B216" s="75">
        <f>IF(Rules!$C$217="","",Rules!$B$217)</f>
        <v>200</v>
      </c>
      <c r="C216" s="146" t="str">
        <f>IF(Rules!$C$217="","",Rules!$C$217)</f>
        <v>SOUTHWEST AIR</v>
      </c>
      <c r="D216" s="146" t="str">
        <f>IF(Rules!$C$217="","",Rules!$D$217)</f>
        <v>Travel - Conferences &amp; Lodging</v>
      </c>
      <c r="E216" s="75" t="str">
        <f>IF(Rules!$C$217="","",Rules!$E$217)</f>
        <v>Out</v>
      </c>
      <c r="F216" s="75" t="str">
        <f>IF(Rules!$C$217="","",Rules!$G$217)</f>
        <v>Yes</v>
      </c>
      <c r="G216" s="147">
        <v>217</v>
      </c>
      <c r="H216" s="148" t="str">
        <f>IF(Rules!$C$217="","",TRIM(IF(COUNTIFS(Rules_Key,Rules!$C$217,Rules_Dir,Rules!$E$217)&gt;1,"Duplicate keyword+direction. ","")&amp;IF(LEN(Rules!$C$217)&lt;5,"Keyword under 5 characters - matches too much. ","")&amp;IF(AND(Rules!$D$217&lt;&gt;"",COUNTIF(Cat_Name,Rules!$D$217)=0),"Category is not on the Categories sheet - rows will fall to Review Required. ","")&amp;IF(Rules!$F$217="Broad","Broad scope - deliberately forces Review Required. ","")&amp;IF(Rules!$G$217&lt;&gt;"Yes","Rule is switched OFF. ","")&amp;IF(AND(Rules!$C$217&lt;&gt;"",Rules!$D$217=""),"Keyword with no category. ","")))</f>
        <v/>
      </c>
    </row>
    <row r="217" spans="2:8" x14ac:dyDescent="0.25">
      <c r="B217" s="73">
        <f>IF(Rules!$C$218="","",Rules!$B$218)</f>
        <v>200</v>
      </c>
      <c r="C217" s="143" t="str">
        <f>IF(Rules!$C$218="","",Rules!$C$218)</f>
        <v>UNITED AIRLINES</v>
      </c>
      <c r="D217" s="143" t="str">
        <f>IF(Rules!$C$218="","",Rules!$D$218)</f>
        <v>Travel - Conferences &amp; Lodging</v>
      </c>
      <c r="E217" s="73" t="str">
        <f>IF(Rules!$C$218="","",Rules!$E$218)</f>
        <v>Out</v>
      </c>
      <c r="F217" s="73" t="str">
        <f>IF(Rules!$C$218="","",Rules!$G$218)</f>
        <v>Yes</v>
      </c>
      <c r="G217" s="144">
        <v>218</v>
      </c>
      <c r="H217" s="145" t="str">
        <f>IF(Rules!$C$218="","",TRIM(IF(COUNTIFS(Rules_Key,Rules!$C$218,Rules_Dir,Rules!$E$218)&gt;1,"Duplicate keyword+direction. ","")&amp;IF(LEN(Rules!$C$218)&lt;5,"Keyword under 5 characters - matches too much. ","")&amp;IF(AND(Rules!$D$218&lt;&gt;"",COUNTIF(Cat_Name,Rules!$D$218)=0),"Category is not on the Categories sheet - rows will fall to Review Required. ","")&amp;IF(Rules!$F$218="Broad","Broad scope - deliberately forces Review Required. ","")&amp;IF(Rules!$G$218&lt;&gt;"Yes","Rule is switched OFF. ","")&amp;IF(AND(Rules!$C$218&lt;&gt;"",Rules!$D$218=""),"Keyword with no category. ","")))</f>
        <v/>
      </c>
    </row>
    <row r="218" spans="2:8" x14ac:dyDescent="0.25">
      <c r="B218" s="75">
        <f>IF(Rules!$C$219="","",Rules!$B$219)</f>
        <v>200</v>
      </c>
      <c r="C218" s="146" t="str">
        <f>IF(Rules!$C$219="","",Rules!$C$219)</f>
        <v>MARRIOTT</v>
      </c>
      <c r="D218" s="146" t="str">
        <f>IF(Rules!$C$219="","",Rules!$D$219)</f>
        <v>Travel - Conferences &amp; Lodging</v>
      </c>
      <c r="E218" s="75" t="str">
        <f>IF(Rules!$C$219="","",Rules!$E$219)</f>
        <v>Out</v>
      </c>
      <c r="F218" s="75" t="str">
        <f>IF(Rules!$C$219="","",Rules!$G$219)</f>
        <v>Yes</v>
      </c>
      <c r="G218" s="147">
        <v>219</v>
      </c>
      <c r="H218" s="148" t="str">
        <f>IF(Rules!$C$219="","",TRIM(IF(COUNTIFS(Rules_Key,Rules!$C$219,Rules_Dir,Rules!$E$219)&gt;1,"Duplicate keyword+direction. ","")&amp;IF(LEN(Rules!$C$219)&lt;5,"Keyword under 5 characters - matches too much. ","")&amp;IF(AND(Rules!$D$219&lt;&gt;"",COUNTIF(Cat_Name,Rules!$D$219)=0),"Category is not on the Categories sheet - rows will fall to Review Required. ","")&amp;IF(Rules!$F$219="Broad","Broad scope - deliberately forces Review Required. ","")&amp;IF(Rules!$G$219&lt;&gt;"Yes","Rule is switched OFF. ","")&amp;IF(AND(Rules!$C$219&lt;&gt;"",Rules!$D$219=""),"Keyword with no category. ","")))</f>
        <v/>
      </c>
    </row>
    <row r="219" spans="2:8" x14ac:dyDescent="0.25">
      <c r="B219" s="73">
        <f>IF(Rules!$C$220="","",Rules!$B$220)</f>
        <v>200</v>
      </c>
      <c r="C219" s="143" t="str">
        <f>IF(Rules!$C$220="","",Rules!$C$220)</f>
        <v>HILTON</v>
      </c>
      <c r="D219" s="143" t="str">
        <f>IF(Rules!$C$220="","",Rules!$D$220)</f>
        <v>Travel - Conferences &amp; Lodging</v>
      </c>
      <c r="E219" s="73" t="str">
        <f>IF(Rules!$C$220="","",Rules!$E$220)</f>
        <v>Out</v>
      </c>
      <c r="F219" s="73" t="str">
        <f>IF(Rules!$C$220="","",Rules!$G$220)</f>
        <v>Yes</v>
      </c>
      <c r="G219" s="144">
        <v>220</v>
      </c>
      <c r="H219" s="145" t="str">
        <f>IF(Rules!$C$220="","",TRIM(IF(COUNTIFS(Rules_Key,Rules!$C$220,Rules_Dir,Rules!$E$220)&gt;1,"Duplicate keyword+direction. ","")&amp;IF(LEN(Rules!$C$220)&lt;5,"Keyword under 5 characters - matches too much. ","")&amp;IF(AND(Rules!$D$220&lt;&gt;"",COUNTIF(Cat_Name,Rules!$D$220)=0),"Category is not on the Categories sheet - rows will fall to Review Required. ","")&amp;IF(Rules!$F$220="Broad","Broad scope - deliberately forces Review Required. ","")&amp;IF(Rules!$G$220&lt;&gt;"Yes","Rule is switched OFF. ","")&amp;IF(AND(Rules!$C$220&lt;&gt;"",Rules!$D$220=""),"Keyword with no category. ","")))</f>
        <v/>
      </c>
    </row>
    <row r="220" spans="2:8" x14ac:dyDescent="0.25">
      <c r="B220" s="75">
        <f>IF(Rules!$C$221="","",Rules!$B$221)</f>
        <v>200</v>
      </c>
      <c r="C220" s="146" t="str">
        <f>IF(Rules!$C$221="","",Rules!$C$221)</f>
        <v>SHELL OIL</v>
      </c>
      <c r="D220" s="146" t="str">
        <f>IF(Rules!$C$221="","",Rules!$D$221)</f>
        <v>Auto - Actual Expenses (Fuel, Repairs, Insurance)</v>
      </c>
      <c r="E220" s="75" t="str">
        <f>IF(Rules!$C$221="","",Rules!$E$221)</f>
        <v>Out</v>
      </c>
      <c r="F220" s="75" t="str">
        <f>IF(Rules!$C$221="","",Rules!$G$221)</f>
        <v>Yes</v>
      </c>
      <c r="G220" s="147">
        <v>221</v>
      </c>
      <c r="H220" s="148" t="str">
        <f>IF(Rules!$C$221="","",TRIM(IF(COUNTIFS(Rules_Key,Rules!$C$221,Rules_Dir,Rules!$E$221)&gt;1,"Duplicate keyword+direction. ","")&amp;IF(LEN(Rules!$C$221)&lt;5,"Keyword under 5 characters - matches too much. ","")&amp;IF(AND(Rules!$D$221&lt;&gt;"",COUNTIF(Cat_Name,Rules!$D$221)=0),"Category is not on the Categories sheet - rows will fall to Review Required. ","")&amp;IF(Rules!$F$221="Broad","Broad scope - deliberately forces Review Required. ","")&amp;IF(Rules!$G$221&lt;&gt;"Yes","Rule is switched OFF. ","")&amp;IF(AND(Rules!$C$221&lt;&gt;"",Rules!$D$221=""),"Keyword with no category. ","")))</f>
        <v/>
      </c>
    </row>
    <row r="221" spans="2:8" x14ac:dyDescent="0.25">
      <c r="B221" s="73">
        <f>IF(Rules!$C$222="","",Rules!$B$222)</f>
        <v>200</v>
      </c>
      <c r="C221" s="143" t="str">
        <f>IF(Rules!$C$222="","",Rules!$C$222)</f>
        <v>EXXON</v>
      </c>
      <c r="D221" s="143" t="str">
        <f>IF(Rules!$C$222="","",Rules!$D$222)</f>
        <v>Auto - Actual Expenses (Fuel, Repairs, Insurance)</v>
      </c>
      <c r="E221" s="73" t="str">
        <f>IF(Rules!$C$222="","",Rules!$E$222)</f>
        <v>Out</v>
      </c>
      <c r="F221" s="73" t="str">
        <f>IF(Rules!$C$222="","",Rules!$G$222)</f>
        <v>Yes</v>
      </c>
      <c r="G221" s="144">
        <v>222</v>
      </c>
      <c r="H221" s="145" t="str">
        <f>IF(Rules!$C$222="","",TRIM(IF(COUNTIFS(Rules_Key,Rules!$C$222,Rules_Dir,Rules!$E$222)&gt;1,"Duplicate keyword+direction. ","")&amp;IF(LEN(Rules!$C$222)&lt;5,"Keyword under 5 characters - matches too much. ","")&amp;IF(AND(Rules!$D$222&lt;&gt;"",COUNTIF(Cat_Name,Rules!$D$222)=0),"Category is not on the Categories sheet - rows will fall to Review Required. ","")&amp;IF(Rules!$F$222="Broad","Broad scope - deliberately forces Review Required. ","")&amp;IF(Rules!$G$222&lt;&gt;"Yes","Rule is switched OFF. ","")&amp;IF(AND(Rules!$C$222&lt;&gt;"",Rules!$D$222=""),"Keyword with no category. ","")))</f>
        <v/>
      </c>
    </row>
    <row r="222" spans="2:8" x14ac:dyDescent="0.25">
      <c r="B222" s="75">
        <f>IF(Rules!$C$223="","",Rules!$B$223)</f>
        <v>200</v>
      </c>
      <c r="C222" s="146" t="str">
        <f>IF(Rules!$C$223="","",Rules!$C$223)</f>
        <v>CHEVRON</v>
      </c>
      <c r="D222" s="146" t="str">
        <f>IF(Rules!$C$223="","",Rules!$D$223)</f>
        <v>Auto - Actual Expenses (Fuel, Repairs, Insurance)</v>
      </c>
      <c r="E222" s="75" t="str">
        <f>IF(Rules!$C$223="","",Rules!$E$223)</f>
        <v>Out</v>
      </c>
      <c r="F222" s="75" t="str">
        <f>IF(Rules!$C$223="","",Rules!$G$223)</f>
        <v>Yes</v>
      </c>
      <c r="G222" s="147">
        <v>223</v>
      </c>
      <c r="H222" s="148" t="str">
        <f>IF(Rules!$C$223="","",TRIM(IF(COUNTIFS(Rules_Key,Rules!$C$223,Rules_Dir,Rules!$E$223)&gt;1,"Duplicate keyword+direction. ","")&amp;IF(LEN(Rules!$C$223)&lt;5,"Keyword under 5 characters - matches too much. ","")&amp;IF(AND(Rules!$D$223&lt;&gt;"",COUNTIF(Cat_Name,Rules!$D$223)=0),"Category is not on the Categories sheet - rows will fall to Review Required. ","")&amp;IF(Rules!$F$223="Broad","Broad scope - deliberately forces Review Required. ","")&amp;IF(Rules!$G$223&lt;&gt;"Yes","Rule is switched OFF. ","")&amp;IF(AND(Rules!$C$223&lt;&gt;"",Rules!$D$223=""),"Keyword with no category. ","")))</f>
        <v/>
      </c>
    </row>
    <row r="223" spans="2:8" x14ac:dyDescent="0.25">
      <c r="B223" s="73">
        <f>IF(Rules!$C$224="","",Rules!$B$224)</f>
        <v>200</v>
      </c>
      <c r="C223" s="143" t="str">
        <f>IF(Rules!$C$224="","",Rules!$C$224)</f>
        <v>VALERO</v>
      </c>
      <c r="D223" s="143" t="str">
        <f>IF(Rules!$C$224="","",Rules!$D$224)</f>
        <v>Auto - Actual Expenses (Fuel, Repairs, Insurance)</v>
      </c>
      <c r="E223" s="73" t="str">
        <f>IF(Rules!$C$224="","",Rules!$E$224)</f>
        <v>Out</v>
      </c>
      <c r="F223" s="73" t="str">
        <f>IF(Rules!$C$224="","",Rules!$G$224)</f>
        <v>Yes</v>
      </c>
      <c r="G223" s="144">
        <v>224</v>
      </c>
      <c r="H223" s="145" t="str">
        <f>IF(Rules!$C$224="","",TRIM(IF(COUNTIFS(Rules_Key,Rules!$C$224,Rules_Dir,Rules!$E$224)&gt;1,"Duplicate keyword+direction. ","")&amp;IF(LEN(Rules!$C$224)&lt;5,"Keyword under 5 characters - matches too much. ","")&amp;IF(AND(Rules!$D$224&lt;&gt;"",COUNTIF(Cat_Name,Rules!$D$224)=0),"Category is not on the Categories sheet - rows will fall to Review Required. ","")&amp;IF(Rules!$F$224="Broad","Broad scope - deliberately forces Review Required. ","")&amp;IF(Rules!$G$224&lt;&gt;"Yes","Rule is switched OFF. ","")&amp;IF(AND(Rules!$C$224&lt;&gt;"",Rules!$D$224=""),"Keyword with no category. ","")))</f>
        <v/>
      </c>
    </row>
    <row r="224" spans="2:8" x14ac:dyDescent="0.25">
      <c r="B224" s="75">
        <f>IF(Rules!$C$225="","",Rules!$B$225)</f>
        <v>200</v>
      </c>
      <c r="C224" s="146" t="str">
        <f>IF(Rules!$C$225="","",Rules!$C$225)</f>
        <v>TEXACO</v>
      </c>
      <c r="D224" s="146" t="str">
        <f>IF(Rules!$C$225="","",Rules!$D$225)</f>
        <v>Auto - Actual Expenses (Fuel, Repairs, Insurance)</v>
      </c>
      <c r="E224" s="75" t="str">
        <f>IF(Rules!$C$225="","",Rules!$E$225)</f>
        <v>Out</v>
      </c>
      <c r="F224" s="75" t="str">
        <f>IF(Rules!$C$225="","",Rules!$G$225)</f>
        <v>Yes</v>
      </c>
      <c r="G224" s="147">
        <v>225</v>
      </c>
      <c r="H224" s="148" t="str">
        <f>IF(Rules!$C$225="","",TRIM(IF(COUNTIFS(Rules_Key,Rules!$C$225,Rules_Dir,Rules!$E$225)&gt;1,"Duplicate keyword+direction. ","")&amp;IF(LEN(Rules!$C$225)&lt;5,"Keyword under 5 characters - matches too much. ","")&amp;IF(AND(Rules!$D$225&lt;&gt;"",COUNTIF(Cat_Name,Rules!$D$225)=0),"Category is not on the Categories sheet - rows will fall to Review Required. ","")&amp;IF(Rules!$F$225="Broad","Broad scope - deliberately forces Review Required. ","")&amp;IF(Rules!$G$225&lt;&gt;"Yes","Rule is switched OFF. ","")&amp;IF(AND(Rules!$C$225&lt;&gt;"",Rules!$D$225=""),"Keyword with no category. ","")))</f>
        <v/>
      </c>
    </row>
    <row r="225" spans="2:8" x14ac:dyDescent="0.25">
      <c r="B225" s="73">
        <f>IF(Rules!$C$226="","",Rules!$B$226)</f>
        <v>200</v>
      </c>
      <c r="C225" s="143" t="str">
        <f>IF(Rules!$C$226="","",Rules!$C$226)</f>
        <v>CITGO</v>
      </c>
      <c r="D225" s="143" t="str">
        <f>IF(Rules!$C$226="","",Rules!$D$226)</f>
        <v>Auto - Actual Expenses (Fuel, Repairs, Insurance)</v>
      </c>
      <c r="E225" s="73" t="str">
        <f>IF(Rules!$C$226="","",Rules!$E$226)</f>
        <v>Out</v>
      </c>
      <c r="F225" s="73" t="str">
        <f>IF(Rules!$C$226="","",Rules!$G$226)</f>
        <v>Yes</v>
      </c>
      <c r="G225" s="144">
        <v>226</v>
      </c>
      <c r="H225" s="145" t="str">
        <f>IF(Rules!$C$226="","",TRIM(IF(COUNTIFS(Rules_Key,Rules!$C$226,Rules_Dir,Rules!$E$226)&gt;1,"Duplicate keyword+direction. ","")&amp;IF(LEN(Rules!$C$226)&lt;5,"Keyword under 5 characters - matches too much. ","")&amp;IF(AND(Rules!$D$226&lt;&gt;"",COUNTIF(Cat_Name,Rules!$D$226)=0),"Category is not on the Categories sheet - rows will fall to Review Required. ","")&amp;IF(Rules!$F$226="Broad","Broad scope - deliberately forces Review Required. ","")&amp;IF(Rules!$G$226&lt;&gt;"Yes","Rule is switched OFF. ","")&amp;IF(AND(Rules!$C$226&lt;&gt;"",Rules!$D$226=""),"Keyword with no category. ","")))</f>
        <v/>
      </c>
    </row>
    <row r="226" spans="2:8" x14ac:dyDescent="0.25">
      <c r="B226" s="75">
        <f>IF(Rules!$C$227="","",Rules!$B$227)</f>
        <v>200</v>
      </c>
      <c r="C226" s="146" t="str">
        <f>IF(Rules!$C$227="","",Rules!$C$227)</f>
        <v>SUNOCO</v>
      </c>
      <c r="D226" s="146" t="str">
        <f>IF(Rules!$C$227="","",Rules!$D$227)</f>
        <v>Auto - Actual Expenses (Fuel, Repairs, Insurance)</v>
      </c>
      <c r="E226" s="75" t="str">
        <f>IF(Rules!$C$227="","",Rules!$E$227)</f>
        <v>Out</v>
      </c>
      <c r="F226" s="75" t="str">
        <f>IF(Rules!$C$227="","",Rules!$G$227)</f>
        <v>Yes</v>
      </c>
      <c r="G226" s="147">
        <v>227</v>
      </c>
      <c r="H226" s="148" t="str">
        <f>IF(Rules!$C$227="","",TRIM(IF(COUNTIFS(Rules_Key,Rules!$C$227,Rules_Dir,Rules!$E$227)&gt;1,"Duplicate keyword+direction. ","")&amp;IF(LEN(Rules!$C$227)&lt;5,"Keyword under 5 characters - matches too much. ","")&amp;IF(AND(Rules!$D$227&lt;&gt;"",COUNTIF(Cat_Name,Rules!$D$227)=0),"Category is not on the Categories sheet - rows will fall to Review Required. ","")&amp;IF(Rules!$F$227="Broad","Broad scope - deliberately forces Review Required. ","")&amp;IF(Rules!$G$227&lt;&gt;"Yes","Rule is switched OFF. ","")&amp;IF(AND(Rules!$C$227&lt;&gt;"",Rules!$D$227=""),"Keyword with no category. ","")))</f>
        <v/>
      </c>
    </row>
    <row r="227" spans="2:8" x14ac:dyDescent="0.25">
      <c r="B227" s="73">
        <f>IF(Rules!$C$228="","",Rules!$B$228)</f>
        <v>200</v>
      </c>
      <c r="C227" s="143" t="str">
        <f>IF(Rules!$C$228="","",Rules!$C$228)</f>
        <v>CONOCO</v>
      </c>
      <c r="D227" s="143" t="str">
        <f>IF(Rules!$C$228="","",Rules!$D$228)</f>
        <v>Auto - Actual Expenses (Fuel, Repairs, Insurance)</v>
      </c>
      <c r="E227" s="73" t="str">
        <f>IF(Rules!$C$228="","",Rules!$E$228)</f>
        <v>Out</v>
      </c>
      <c r="F227" s="73" t="str">
        <f>IF(Rules!$C$228="","",Rules!$G$228)</f>
        <v>Yes</v>
      </c>
      <c r="G227" s="144">
        <v>228</v>
      </c>
      <c r="H227" s="145" t="str">
        <f>IF(Rules!$C$228="","",TRIM(IF(COUNTIFS(Rules_Key,Rules!$C$228,Rules_Dir,Rules!$E$228)&gt;1,"Duplicate keyword+direction. ","")&amp;IF(LEN(Rules!$C$228)&lt;5,"Keyword under 5 characters - matches too much. ","")&amp;IF(AND(Rules!$D$228&lt;&gt;"",COUNTIF(Cat_Name,Rules!$D$228)=0),"Category is not on the Categories sheet - rows will fall to Review Required. ","")&amp;IF(Rules!$F$228="Broad","Broad scope - deliberately forces Review Required. ","")&amp;IF(Rules!$G$228&lt;&gt;"Yes","Rule is switched OFF. ","")&amp;IF(AND(Rules!$C$228&lt;&gt;"",Rules!$D$228=""),"Keyword with no category. ","")))</f>
        <v/>
      </c>
    </row>
    <row r="228" spans="2:8" x14ac:dyDescent="0.25">
      <c r="B228" s="75">
        <f>IF(Rules!$C$229="","",Rules!$B$229)</f>
        <v>200</v>
      </c>
      <c r="C228" s="146" t="str">
        <f>IF(Rules!$C$229="","",Rules!$C$229)</f>
        <v>PHILLIPS 66</v>
      </c>
      <c r="D228" s="146" t="str">
        <f>IF(Rules!$C$229="","",Rules!$D$229)</f>
        <v>Auto - Actual Expenses (Fuel, Repairs, Insurance)</v>
      </c>
      <c r="E228" s="75" t="str">
        <f>IF(Rules!$C$229="","",Rules!$E$229)</f>
        <v>Out</v>
      </c>
      <c r="F228" s="75" t="str">
        <f>IF(Rules!$C$229="","",Rules!$G$229)</f>
        <v>Yes</v>
      </c>
      <c r="G228" s="147">
        <v>229</v>
      </c>
      <c r="H228" s="148" t="str">
        <f>IF(Rules!$C$229="","",TRIM(IF(COUNTIFS(Rules_Key,Rules!$C$229,Rules_Dir,Rules!$E$229)&gt;1,"Duplicate keyword+direction. ","")&amp;IF(LEN(Rules!$C$229)&lt;5,"Keyword under 5 characters - matches too much. ","")&amp;IF(AND(Rules!$D$229&lt;&gt;"",COUNTIF(Cat_Name,Rules!$D$229)=0),"Category is not on the Categories sheet - rows will fall to Review Required. ","")&amp;IF(Rules!$F$229="Broad","Broad scope - deliberately forces Review Required. ","")&amp;IF(Rules!$G$229&lt;&gt;"Yes","Rule is switched OFF. ","")&amp;IF(AND(Rules!$C$229&lt;&gt;"",Rules!$D$229=""),"Keyword with no category. ","")))</f>
        <v/>
      </c>
    </row>
    <row r="229" spans="2:8" x14ac:dyDescent="0.25">
      <c r="B229" s="73">
        <f>IF(Rules!$C$230="","",Rules!$B$230)</f>
        <v>200</v>
      </c>
      <c r="C229" s="143" t="str">
        <f>IF(Rules!$C$230="","",Rules!$C$230)</f>
        <v>AIRLINES</v>
      </c>
      <c r="D229" s="143" t="str">
        <f>IF(Rules!$C$230="","",Rules!$D$230)</f>
        <v>Travel - Conferences &amp; Lodging</v>
      </c>
      <c r="E229" s="73" t="str">
        <f>IF(Rules!$C$230="","",Rules!$E$230)</f>
        <v>Out</v>
      </c>
      <c r="F229" s="73" t="str">
        <f>IF(Rules!$C$230="","",Rules!$G$230)</f>
        <v>Yes</v>
      </c>
      <c r="G229" s="144">
        <v>230</v>
      </c>
      <c r="H229" s="145" t="str">
        <f>IF(Rules!$C$230="","",TRIM(IF(COUNTIFS(Rules_Key,Rules!$C$230,Rules_Dir,Rules!$E$230)&gt;1,"Duplicate keyword+direction. ","")&amp;IF(LEN(Rules!$C$230)&lt;5,"Keyword under 5 characters - matches too much. ","")&amp;IF(AND(Rules!$D$230&lt;&gt;"",COUNTIF(Cat_Name,Rules!$D$230)=0),"Category is not on the Categories sheet - rows will fall to Review Required. ","")&amp;IF(Rules!$F$230="Broad","Broad scope - deliberately forces Review Required. ","")&amp;IF(Rules!$G$230&lt;&gt;"Yes","Rule is switched OFF. ","")&amp;IF(AND(Rules!$C$230&lt;&gt;"",Rules!$D$230=""),"Keyword with no category. ","")))</f>
        <v/>
      </c>
    </row>
    <row r="230" spans="2:8" x14ac:dyDescent="0.25">
      <c r="B230" s="75">
        <f>IF(Rules!$C$231="","",Rules!$B$231)</f>
        <v>200</v>
      </c>
      <c r="C230" s="146" t="str">
        <f>IF(Rules!$C$231="","",Rules!$C$231)</f>
        <v>AIR LINES</v>
      </c>
      <c r="D230" s="146" t="str">
        <f>IF(Rules!$C$231="","",Rules!$D$231)</f>
        <v>Travel - Conferences &amp; Lodging</v>
      </c>
      <c r="E230" s="75" t="str">
        <f>IF(Rules!$C$231="","",Rules!$E$231)</f>
        <v>Out</v>
      </c>
      <c r="F230" s="75" t="str">
        <f>IF(Rules!$C$231="","",Rules!$G$231)</f>
        <v>Yes</v>
      </c>
      <c r="G230" s="147">
        <v>231</v>
      </c>
      <c r="H230" s="148" t="str">
        <f>IF(Rules!$C$231="","",TRIM(IF(COUNTIFS(Rules_Key,Rules!$C$231,Rules_Dir,Rules!$E$231)&gt;1,"Duplicate keyword+direction. ","")&amp;IF(LEN(Rules!$C$231)&lt;5,"Keyword under 5 characters - matches too much. ","")&amp;IF(AND(Rules!$D$231&lt;&gt;"",COUNTIF(Cat_Name,Rules!$D$231)=0),"Category is not on the Categories sheet - rows will fall to Review Required. ","")&amp;IF(Rules!$F$231="Broad","Broad scope - deliberately forces Review Required. ","")&amp;IF(Rules!$G$231&lt;&gt;"Yes","Rule is switched OFF. ","")&amp;IF(AND(Rules!$C$231&lt;&gt;"",Rules!$D$231=""),"Keyword with no category. ","")))</f>
        <v/>
      </c>
    </row>
    <row r="231" spans="2:8" x14ac:dyDescent="0.25">
      <c r="B231" s="73">
        <f>IF(Rules!$C$232="","",Rules!$B$232)</f>
        <v>200</v>
      </c>
      <c r="C231" s="143" t="str">
        <f>IF(Rules!$C$232="","",Rules!$C$232)</f>
        <v>JETBLUE</v>
      </c>
      <c r="D231" s="143" t="str">
        <f>IF(Rules!$C$232="","",Rules!$D$232)</f>
        <v>Travel - Conferences &amp; Lodging</v>
      </c>
      <c r="E231" s="73" t="str">
        <f>IF(Rules!$C$232="","",Rules!$E$232)</f>
        <v>Out</v>
      </c>
      <c r="F231" s="73" t="str">
        <f>IF(Rules!$C$232="","",Rules!$G$232)</f>
        <v>Yes</v>
      </c>
      <c r="G231" s="144">
        <v>232</v>
      </c>
      <c r="H231" s="145" t="str">
        <f>IF(Rules!$C$232="","",TRIM(IF(COUNTIFS(Rules_Key,Rules!$C$232,Rules_Dir,Rules!$E$232)&gt;1,"Duplicate keyword+direction. ","")&amp;IF(LEN(Rules!$C$232)&lt;5,"Keyword under 5 characters - matches too much. ","")&amp;IF(AND(Rules!$D$232&lt;&gt;"",COUNTIF(Cat_Name,Rules!$D$232)=0),"Category is not on the Categories sheet - rows will fall to Review Required. ","")&amp;IF(Rules!$F$232="Broad","Broad scope - deliberately forces Review Required. ","")&amp;IF(Rules!$G$232&lt;&gt;"Yes","Rule is switched OFF. ","")&amp;IF(AND(Rules!$C$232&lt;&gt;"",Rules!$D$232=""),"Keyword with no category. ","")))</f>
        <v/>
      </c>
    </row>
    <row r="232" spans="2:8" x14ac:dyDescent="0.25">
      <c r="B232" s="75">
        <f>IF(Rules!$C$233="","",Rules!$B$233)</f>
        <v>200</v>
      </c>
      <c r="C232" s="146" t="str">
        <f>IF(Rules!$C$233="","",Rules!$C$233)</f>
        <v>HOTEL</v>
      </c>
      <c r="D232" s="146" t="str">
        <f>IF(Rules!$C$233="","",Rules!$D$233)</f>
        <v>Travel - Conferences &amp; Lodging</v>
      </c>
      <c r="E232" s="75" t="str">
        <f>IF(Rules!$C$233="","",Rules!$E$233)</f>
        <v>Out</v>
      </c>
      <c r="F232" s="75" t="str">
        <f>IF(Rules!$C$233="","",Rules!$G$233)</f>
        <v>Yes</v>
      </c>
      <c r="G232" s="147">
        <v>233</v>
      </c>
      <c r="H232" s="148" t="str">
        <f>IF(Rules!$C$233="","",TRIM(IF(COUNTIFS(Rules_Key,Rules!$C$233,Rules_Dir,Rules!$E$233)&gt;1,"Duplicate keyword+direction. ","")&amp;IF(LEN(Rules!$C$233)&lt;5,"Keyword under 5 characters - matches too much. ","")&amp;IF(AND(Rules!$D$233&lt;&gt;"",COUNTIF(Cat_Name,Rules!$D$233)=0),"Category is not on the Categories sheet - rows will fall to Review Required. ","")&amp;IF(Rules!$F$233="Broad","Broad scope - deliberately forces Review Required. ","")&amp;IF(Rules!$G$233&lt;&gt;"Yes","Rule is switched OFF. ","")&amp;IF(AND(Rules!$C$233&lt;&gt;"",Rules!$D$233=""),"Keyword with no category. ","")))</f>
        <v/>
      </c>
    </row>
    <row r="233" spans="2:8" x14ac:dyDescent="0.25">
      <c r="B233" s="73">
        <f>IF(Rules!$C$234="","",Rules!$B$234)</f>
        <v>200</v>
      </c>
      <c r="C233" s="143" t="str">
        <f>IF(Rules!$C$234="","",Rules!$C$234)</f>
        <v>MOTEL</v>
      </c>
      <c r="D233" s="143" t="str">
        <f>IF(Rules!$C$234="","",Rules!$D$234)</f>
        <v>Travel - Conferences &amp; Lodging</v>
      </c>
      <c r="E233" s="73" t="str">
        <f>IF(Rules!$C$234="","",Rules!$E$234)</f>
        <v>Out</v>
      </c>
      <c r="F233" s="73" t="str">
        <f>IF(Rules!$C$234="","",Rules!$G$234)</f>
        <v>Yes</v>
      </c>
      <c r="G233" s="144">
        <v>234</v>
      </c>
      <c r="H233" s="145" t="str">
        <f>IF(Rules!$C$234="","",TRIM(IF(COUNTIFS(Rules_Key,Rules!$C$234,Rules_Dir,Rules!$E$234)&gt;1,"Duplicate keyword+direction. ","")&amp;IF(LEN(Rules!$C$234)&lt;5,"Keyword under 5 characters - matches too much. ","")&amp;IF(AND(Rules!$D$234&lt;&gt;"",COUNTIF(Cat_Name,Rules!$D$234)=0),"Category is not on the Categories sheet - rows will fall to Review Required. ","")&amp;IF(Rules!$F$234="Broad","Broad scope - deliberately forces Review Required. ","")&amp;IF(Rules!$G$234&lt;&gt;"Yes","Rule is switched OFF. ","")&amp;IF(AND(Rules!$C$234&lt;&gt;"",Rules!$D$234=""),"Keyword with no category. ","")))</f>
        <v/>
      </c>
    </row>
    <row r="234" spans="2:8" x14ac:dyDescent="0.25">
      <c r="B234" s="75">
        <f>IF(Rules!$C$235="","",Rules!$B$235)</f>
        <v>200</v>
      </c>
      <c r="C234" s="146" t="str">
        <f>IF(Rules!$C$235="","",Rules!$C$235)</f>
        <v>HYATT</v>
      </c>
      <c r="D234" s="146" t="str">
        <f>IF(Rules!$C$235="","",Rules!$D$235)</f>
        <v>Travel - Conferences &amp; Lodging</v>
      </c>
      <c r="E234" s="75" t="str">
        <f>IF(Rules!$C$235="","",Rules!$E$235)</f>
        <v>Out</v>
      </c>
      <c r="F234" s="75" t="str">
        <f>IF(Rules!$C$235="","",Rules!$G$235)</f>
        <v>Yes</v>
      </c>
      <c r="G234" s="147">
        <v>235</v>
      </c>
      <c r="H234" s="148" t="str">
        <f>IF(Rules!$C$235="","",TRIM(IF(COUNTIFS(Rules_Key,Rules!$C$235,Rules_Dir,Rules!$E$235)&gt;1,"Duplicate keyword+direction. ","")&amp;IF(LEN(Rules!$C$235)&lt;5,"Keyword under 5 characters - matches too much. ","")&amp;IF(AND(Rules!$D$235&lt;&gt;"",COUNTIF(Cat_Name,Rules!$D$235)=0),"Category is not on the Categories sheet - rows will fall to Review Required. ","")&amp;IF(Rules!$F$235="Broad","Broad scope - deliberately forces Review Required. ","")&amp;IF(Rules!$G$235&lt;&gt;"Yes","Rule is switched OFF. ","")&amp;IF(AND(Rules!$C$235&lt;&gt;"",Rules!$D$235=""),"Keyword with no category. ","")))</f>
        <v/>
      </c>
    </row>
    <row r="235" spans="2:8" x14ac:dyDescent="0.25">
      <c r="B235" s="73">
        <f>IF(Rules!$C$236="","",Rules!$B$236)</f>
        <v>200</v>
      </c>
      <c r="C235" s="143" t="str">
        <f>IF(Rules!$C$236="","",Rules!$C$236)</f>
        <v>HOLIDAY INN</v>
      </c>
      <c r="D235" s="143" t="str">
        <f>IF(Rules!$C$236="","",Rules!$D$236)</f>
        <v>Travel - Conferences &amp; Lodging</v>
      </c>
      <c r="E235" s="73" t="str">
        <f>IF(Rules!$C$236="","",Rules!$E$236)</f>
        <v>Out</v>
      </c>
      <c r="F235" s="73" t="str">
        <f>IF(Rules!$C$236="","",Rules!$G$236)</f>
        <v>Yes</v>
      </c>
      <c r="G235" s="144">
        <v>236</v>
      </c>
      <c r="H235" s="145" t="str">
        <f>IF(Rules!$C$236="","",TRIM(IF(COUNTIFS(Rules_Key,Rules!$C$236,Rules_Dir,Rules!$E$236)&gt;1,"Duplicate keyword+direction. ","")&amp;IF(LEN(Rules!$C$236)&lt;5,"Keyword under 5 characters - matches too much. ","")&amp;IF(AND(Rules!$D$236&lt;&gt;"",COUNTIF(Cat_Name,Rules!$D$236)=0),"Category is not on the Categories sheet - rows will fall to Review Required. ","")&amp;IF(Rules!$F$236="Broad","Broad scope - deliberately forces Review Required. ","")&amp;IF(Rules!$G$236&lt;&gt;"Yes","Rule is switched OFF. ","")&amp;IF(AND(Rules!$C$236&lt;&gt;"",Rules!$D$236=""),"Keyword with no category. ","")))</f>
        <v/>
      </c>
    </row>
    <row r="236" spans="2:8" x14ac:dyDescent="0.25">
      <c r="B236" s="75">
        <f>IF(Rules!$C$237="","",Rules!$B$237)</f>
        <v>200</v>
      </c>
      <c r="C236" s="146" t="str">
        <f>IF(Rules!$C$237="","",Rules!$C$237)</f>
        <v>HAMPTON INN</v>
      </c>
      <c r="D236" s="146" t="str">
        <f>IF(Rules!$C$237="","",Rules!$D$237)</f>
        <v>Travel - Conferences &amp; Lodging</v>
      </c>
      <c r="E236" s="75" t="str">
        <f>IF(Rules!$C$237="","",Rules!$E$237)</f>
        <v>Out</v>
      </c>
      <c r="F236" s="75" t="str">
        <f>IF(Rules!$C$237="","",Rules!$G$237)</f>
        <v>Yes</v>
      </c>
      <c r="G236" s="147">
        <v>237</v>
      </c>
      <c r="H236" s="148" t="str">
        <f>IF(Rules!$C$237="","",TRIM(IF(COUNTIFS(Rules_Key,Rules!$C$237,Rules_Dir,Rules!$E$237)&gt;1,"Duplicate keyword+direction. ","")&amp;IF(LEN(Rules!$C$237)&lt;5,"Keyword under 5 characters - matches too much. ","")&amp;IF(AND(Rules!$D$237&lt;&gt;"",COUNTIF(Cat_Name,Rules!$D$237)=0),"Category is not on the Categories sheet - rows will fall to Review Required. ","")&amp;IF(Rules!$F$237="Broad","Broad scope - deliberately forces Review Required. ","")&amp;IF(Rules!$G$237&lt;&gt;"Yes","Rule is switched OFF. ","")&amp;IF(AND(Rules!$C$237&lt;&gt;"",Rules!$D$237=""),"Keyword with no category. ","")))</f>
        <v/>
      </c>
    </row>
    <row r="237" spans="2:8" x14ac:dyDescent="0.25">
      <c r="B237" s="73">
        <f>IF(Rules!$C$238="","",Rules!$B$238)</f>
        <v>200</v>
      </c>
      <c r="C237" s="143" t="str">
        <f>IF(Rules!$C$238="","",Rules!$C$238)</f>
        <v>RESIDENCE INN</v>
      </c>
      <c r="D237" s="143" t="str">
        <f>IF(Rules!$C$238="","",Rules!$D$238)</f>
        <v>Travel - Conferences &amp; Lodging</v>
      </c>
      <c r="E237" s="73" t="str">
        <f>IF(Rules!$C$238="","",Rules!$E$238)</f>
        <v>Out</v>
      </c>
      <c r="F237" s="73" t="str">
        <f>IF(Rules!$C$238="","",Rules!$G$238)</f>
        <v>Yes</v>
      </c>
      <c r="G237" s="144">
        <v>238</v>
      </c>
      <c r="H237" s="145" t="str">
        <f>IF(Rules!$C$238="","",TRIM(IF(COUNTIFS(Rules_Key,Rules!$C$238,Rules_Dir,Rules!$E$238)&gt;1,"Duplicate keyword+direction. ","")&amp;IF(LEN(Rules!$C$238)&lt;5,"Keyword under 5 characters - matches too much. ","")&amp;IF(AND(Rules!$D$238&lt;&gt;"",COUNTIF(Cat_Name,Rules!$D$238)=0),"Category is not on the Categories sheet - rows will fall to Review Required. ","")&amp;IF(Rules!$F$238="Broad","Broad scope - deliberately forces Review Required. ","")&amp;IF(Rules!$G$238&lt;&gt;"Yes","Rule is switched OFF. ","")&amp;IF(AND(Rules!$C$238&lt;&gt;"",Rules!$D$238=""),"Keyword with no category. ","")))</f>
        <v/>
      </c>
    </row>
    <row r="238" spans="2:8" x14ac:dyDescent="0.25">
      <c r="B238" s="75">
        <f>IF(Rules!$C$239="","",Rules!$B$239)</f>
        <v>200</v>
      </c>
      <c r="C238" s="146" t="str">
        <f>IF(Rules!$C$239="","",Rules!$C$239)</f>
        <v>COURTYARD</v>
      </c>
      <c r="D238" s="146" t="str">
        <f>IF(Rules!$C$239="","",Rules!$D$239)</f>
        <v>Travel - Conferences &amp; Lodging</v>
      </c>
      <c r="E238" s="75" t="str">
        <f>IF(Rules!$C$239="","",Rules!$E$239)</f>
        <v>Out</v>
      </c>
      <c r="F238" s="75" t="str">
        <f>IF(Rules!$C$239="","",Rules!$G$239)</f>
        <v>Yes</v>
      </c>
      <c r="G238" s="147">
        <v>239</v>
      </c>
      <c r="H238" s="148" t="str">
        <f>IF(Rules!$C$239="","",TRIM(IF(COUNTIFS(Rules_Key,Rules!$C$239,Rules_Dir,Rules!$E$239)&gt;1,"Duplicate keyword+direction. ","")&amp;IF(LEN(Rules!$C$239)&lt;5,"Keyword under 5 characters - matches too much. ","")&amp;IF(AND(Rules!$D$239&lt;&gt;"",COUNTIF(Cat_Name,Rules!$D$239)=0),"Category is not on the Categories sheet - rows will fall to Review Required. ","")&amp;IF(Rules!$F$239="Broad","Broad scope - deliberately forces Review Required. ","")&amp;IF(Rules!$G$239&lt;&gt;"Yes","Rule is switched OFF. ","")&amp;IF(AND(Rules!$C$239&lt;&gt;"",Rules!$D$239=""),"Keyword with no category. ","")))</f>
        <v/>
      </c>
    </row>
    <row r="239" spans="2:8" x14ac:dyDescent="0.25">
      <c r="B239" s="73">
        <f>IF(Rules!$C$240="","",Rules!$B$240)</f>
        <v>200</v>
      </c>
      <c r="C239" s="143" t="str">
        <f>IF(Rules!$C$240="","",Rules!$C$240)</f>
        <v>WESTIN</v>
      </c>
      <c r="D239" s="143" t="str">
        <f>IF(Rules!$C$240="","",Rules!$D$240)</f>
        <v>Travel - Conferences &amp; Lodging</v>
      </c>
      <c r="E239" s="73" t="str">
        <f>IF(Rules!$C$240="","",Rules!$E$240)</f>
        <v>Out</v>
      </c>
      <c r="F239" s="73" t="str">
        <f>IF(Rules!$C$240="","",Rules!$G$240)</f>
        <v>Yes</v>
      </c>
      <c r="G239" s="144">
        <v>240</v>
      </c>
      <c r="H239" s="145" t="str">
        <f>IF(Rules!$C$240="","",TRIM(IF(COUNTIFS(Rules_Key,Rules!$C$240,Rules_Dir,Rules!$E$240)&gt;1,"Duplicate keyword+direction. ","")&amp;IF(LEN(Rules!$C$240)&lt;5,"Keyword under 5 characters - matches too much. ","")&amp;IF(AND(Rules!$D$240&lt;&gt;"",COUNTIF(Cat_Name,Rules!$D$240)=0),"Category is not on the Categories sheet - rows will fall to Review Required. ","")&amp;IF(Rules!$F$240="Broad","Broad scope - deliberately forces Review Required. ","")&amp;IF(Rules!$G$240&lt;&gt;"Yes","Rule is switched OFF. ","")&amp;IF(AND(Rules!$C$240&lt;&gt;"",Rules!$D$240=""),"Keyword with no category. ","")))</f>
        <v/>
      </c>
    </row>
    <row r="240" spans="2:8" x14ac:dyDescent="0.25">
      <c r="B240" s="75">
        <f>IF(Rules!$C$241="","",Rules!$B$241)</f>
        <v>200</v>
      </c>
      <c r="C240" s="146" t="str">
        <f>IF(Rules!$C$241="","",Rules!$C$241)</f>
        <v>SHERATON</v>
      </c>
      <c r="D240" s="146" t="str">
        <f>IF(Rules!$C$241="","",Rules!$D$241)</f>
        <v>Travel - Conferences &amp; Lodging</v>
      </c>
      <c r="E240" s="75" t="str">
        <f>IF(Rules!$C$241="","",Rules!$E$241)</f>
        <v>Out</v>
      </c>
      <c r="F240" s="75" t="str">
        <f>IF(Rules!$C$241="","",Rules!$G$241)</f>
        <v>Yes</v>
      </c>
      <c r="G240" s="147">
        <v>241</v>
      </c>
      <c r="H240" s="148" t="str">
        <f>IF(Rules!$C$241="","",TRIM(IF(COUNTIFS(Rules_Key,Rules!$C$241,Rules_Dir,Rules!$E$241)&gt;1,"Duplicate keyword+direction. ","")&amp;IF(LEN(Rules!$C$241)&lt;5,"Keyword under 5 characters - matches too much. ","")&amp;IF(AND(Rules!$D$241&lt;&gt;"",COUNTIF(Cat_Name,Rules!$D$241)=0),"Category is not on the Categories sheet - rows will fall to Review Required. ","")&amp;IF(Rules!$F$241="Broad","Broad scope - deliberately forces Review Required. ","")&amp;IF(Rules!$G$241&lt;&gt;"Yes","Rule is switched OFF. ","")&amp;IF(AND(Rules!$C$241&lt;&gt;"",Rules!$D$241=""),"Keyword with no category. ","")))</f>
        <v/>
      </c>
    </row>
    <row r="241" spans="2:8" x14ac:dyDescent="0.25">
      <c r="B241" s="73">
        <f>IF(Rules!$C$242="","",Rules!$B$242)</f>
        <v>200</v>
      </c>
      <c r="C241" s="143" t="str">
        <f>IF(Rules!$C$242="","",Rules!$C$242)</f>
        <v>DOUBLETREE</v>
      </c>
      <c r="D241" s="143" t="str">
        <f>IF(Rules!$C$242="","",Rules!$D$242)</f>
        <v>Travel - Conferences &amp; Lodging</v>
      </c>
      <c r="E241" s="73" t="str">
        <f>IF(Rules!$C$242="","",Rules!$E$242)</f>
        <v>Out</v>
      </c>
      <c r="F241" s="73" t="str">
        <f>IF(Rules!$C$242="","",Rules!$G$242)</f>
        <v>Yes</v>
      </c>
      <c r="G241" s="144">
        <v>242</v>
      </c>
      <c r="H241" s="145" t="str">
        <f>IF(Rules!$C$242="","",TRIM(IF(COUNTIFS(Rules_Key,Rules!$C$242,Rules_Dir,Rules!$E$242)&gt;1,"Duplicate keyword+direction. ","")&amp;IF(LEN(Rules!$C$242)&lt;5,"Keyword under 5 characters - matches too much. ","")&amp;IF(AND(Rules!$D$242&lt;&gt;"",COUNTIF(Cat_Name,Rules!$D$242)=0),"Category is not on the Categories sheet - rows will fall to Review Required. ","")&amp;IF(Rules!$F$242="Broad","Broad scope - deliberately forces Review Required. ","")&amp;IF(Rules!$G$242&lt;&gt;"Yes","Rule is switched OFF. ","")&amp;IF(AND(Rules!$C$242&lt;&gt;"",Rules!$D$242=""),"Keyword with no category. ","")))</f>
        <v/>
      </c>
    </row>
    <row r="242" spans="2:8" x14ac:dyDescent="0.25">
      <c r="B242" s="75">
        <f>IF(Rules!$C$243="","",Rules!$B$243)</f>
        <v>200</v>
      </c>
      <c r="C242" s="146" t="str">
        <f>IF(Rules!$C$243="","",Rules!$C$243)</f>
        <v>EMBASSY SUITES</v>
      </c>
      <c r="D242" s="146" t="str">
        <f>IF(Rules!$C$243="","",Rules!$D$243)</f>
        <v>Travel - Conferences &amp; Lodging</v>
      </c>
      <c r="E242" s="75" t="str">
        <f>IF(Rules!$C$243="","",Rules!$E$243)</f>
        <v>Out</v>
      </c>
      <c r="F242" s="75" t="str">
        <f>IF(Rules!$C$243="","",Rules!$G$243)</f>
        <v>Yes</v>
      </c>
      <c r="G242" s="147">
        <v>243</v>
      </c>
      <c r="H242" s="148" t="str">
        <f>IF(Rules!$C$243="","",TRIM(IF(COUNTIFS(Rules_Key,Rules!$C$243,Rules_Dir,Rules!$E$243)&gt;1,"Duplicate keyword+direction. ","")&amp;IF(LEN(Rules!$C$243)&lt;5,"Keyword under 5 characters - matches too much. ","")&amp;IF(AND(Rules!$D$243&lt;&gt;"",COUNTIF(Cat_Name,Rules!$D$243)=0),"Category is not on the Categories sheet - rows will fall to Review Required. ","")&amp;IF(Rules!$F$243="Broad","Broad scope - deliberately forces Review Required. ","")&amp;IF(Rules!$G$243&lt;&gt;"Yes","Rule is switched OFF. ","")&amp;IF(AND(Rules!$C$243&lt;&gt;"",Rules!$D$243=""),"Keyword with no category. ","")))</f>
        <v/>
      </c>
    </row>
    <row r="243" spans="2:8" x14ac:dyDescent="0.25">
      <c r="B243" s="73">
        <f>IF(Rules!$C$244="","",Rules!$B$244)</f>
        <v>200</v>
      </c>
      <c r="C243" s="143" t="str">
        <f>IF(Rules!$C$244="","",Rules!$C$244)</f>
        <v>BEST WESTERN</v>
      </c>
      <c r="D243" s="143" t="str">
        <f>IF(Rules!$C$244="","",Rules!$D$244)</f>
        <v>Travel - Conferences &amp; Lodging</v>
      </c>
      <c r="E243" s="73" t="str">
        <f>IF(Rules!$C$244="","",Rules!$E$244)</f>
        <v>Out</v>
      </c>
      <c r="F243" s="73" t="str">
        <f>IF(Rules!$C$244="","",Rules!$G$244)</f>
        <v>Yes</v>
      </c>
      <c r="G243" s="144">
        <v>244</v>
      </c>
      <c r="H243" s="145" t="str">
        <f>IF(Rules!$C$244="","",TRIM(IF(COUNTIFS(Rules_Key,Rules!$C$244,Rules_Dir,Rules!$E$244)&gt;1,"Duplicate keyword+direction. ","")&amp;IF(LEN(Rules!$C$244)&lt;5,"Keyword under 5 characters - matches too much. ","")&amp;IF(AND(Rules!$D$244&lt;&gt;"",COUNTIF(Cat_Name,Rules!$D$244)=0),"Category is not on the Categories sheet - rows will fall to Review Required. ","")&amp;IF(Rules!$F$244="Broad","Broad scope - deliberately forces Review Required. ","")&amp;IF(Rules!$G$244&lt;&gt;"Yes","Rule is switched OFF. ","")&amp;IF(AND(Rules!$C$244&lt;&gt;"",Rules!$D$244=""),"Keyword with no category. ","")))</f>
        <v/>
      </c>
    </row>
    <row r="244" spans="2:8" x14ac:dyDescent="0.25">
      <c r="B244" s="75">
        <f>IF(Rules!$C$245="","",Rules!$B$245)</f>
        <v>200</v>
      </c>
      <c r="C244" s="146" t="str">
        <f>IF(Rules!$C$245="","",Rules!$C$245)</f>
        <v>LA QUINTA</v>
      </c>
      <c r="D244" s="146" t="str">
        <f>IF(Rules!$C$245="","",Rules!$D$245)</f>
        <v>Travel - Conferences &amp; Lodging</v>
      </c>
      <c r="E244" s="75" t="str">
        <f>IF(Rules!$C$245="","",Rules!$E$245)</f>
        <v>Out</v>
      </c>
      <c r="F244" s="75" t="str">
        <f>IF(Rules!$C$245="","",Rules!$G$245)</f>
        <v>Yes</v>
      </c>
      <c r="G244" s="147">
        <v>245</v>
      </c>
      <c r="H244" s="148" t="str">
        <f>IF(Rules!$C$245="","",TRIM(IF(COUNTIFS(Rules_Key,Rules!$C$245,Rules_Dir,Rules!$E$245)&gt;1,"Duplicate keyword+direction. ","")&amp;IF(LEN(Rules!$C$245)&lt;5,"Keyword under 5 characters - matches too much. ","")&amp;IF(AND(Rules!$D$245&lt;&gt;"",COUNTIF(Cat_Name,Rules!$D$245)=0),"Category is not on the Categories sheet - rows will fall to Review Required. ","")&amp;IF(Rules!$F$245="Broad","Broad scope - deliberately forces Review Required. ","")&amp;IF(Rules!$G$245&lt;&gt;"Yes","Rule is switched OFF. ","")&amp;IF(AND(Rules!$C$245&lt;&gt;"",Rules!$D$245=""),"Keyword with no category. ","")))</f>
        <v/>
      </c>
    </row>
    <row r="245" spans="2:8" x14ac:dyDescent="0.25">
      <c r="B245" s="73">
        <f>IF(Rules!$C$246="","",Rules!$B$246)</f>
        <v>200</v>
      </c>
      <c r="C245" s="143" t="str">
        <f>IF(Rules!$C$246="","",Rules!$C$246)</f>
        <v>SERVICE CHARGE</v>
      </c>
      <c r="D245" s="143" t="str">
        <f>IF(Rules!$C$246="","",Rules!$D$246)</f>
        <v>Bank Fees &amp; Service Charges</v>
      </c>
      <c r="E245" s="73" t="str">
        <f>IF(Rules!$C$246="","",Rules!$E$246)</f>
        <v>Out</v>
      </c>
      <c r="F245" s="73" t="str">
        <f>IF(Rules!$C$246="","",Rules!$G$246)</f>
        <v>Yes</v>
      </c>
      <c r="G245" s="144">
        <v>246</v>
      </c>
      <c r="H245" s="145" t="str">
        <f>IF(Rules!$C$246="","",TRIM(IF(COUNTIFS(Rules_Key,Rules!$C$246,Rules_Dir,Rules!$E$246)&gt;1,"Duplicate keyword+direction. ","")&amp;IF(LEN(Rules!$C$246)&lt;5,"Keyword under 5 characters - matches too much. ","")&amp;IF(AND(Rules!$D$246&lt;&gt;"",COUNTIF(Cat_Name,Rules!$D$246)=0),"Category is not on the Categories sheet - rows will fall to Review Required. ","")&amp;IF(Rules!$F$246="Broad","Broad scope - deliberately forces Review Required. ","")&amp;IF(Rules!$G$246&lt;&gt;"Yes","Rule is switched OFF. ","")&amp;IF(AND(Rules!$C$246&lt;&gt;"",Rules!$D$246=""),"Keyword with no category. ","")))</f>
        <v/>
      </c>
    </row>
    <row r="246" spans="2:8" x14ac:dyDescent="0.25">
      <c r="B246" s="75">
        <f>IF(Rules!$C$247="","",Rules!$B$247)</f>
        <v>200</v>
      </c>
      <c r="C246" s="146" t="str">
        <f>IF(Rules!$C$247="","",Rules!$C$247)</f>
        <v>MONTHLY FEE</v>
      </c>
      <c r="D246" s="146" t="str">
        <f>IF(Rules!$C$247="","",Rules!$D$247)</f>
        <v>Bank Fees &amp; Service Charges</v>
      </c>
      <c r="E246" s="75" t="str">
        <f>IF(Rules!$C$247="","",Rules!$E$247)</f>
        <v>Out</v>
      </c>
      <c r="F246" s="75" t="str">
        <f>IF(Rules!$C$247="","",Rules!$G$247)</f>
        <v>Yes</v>
      </c>
      <c r="G246" s="147">
        <v>247</v>
      </c>
      <c r="H246" s="148" t="str">
        <f>IF(Rules!$C$247="","",TRIM(IF(COUNTIFS(Rules_Key,Rules!$C$247,Rules_Dir,Rules!$E$247)&gt;1,"Duplicate keyword+direction. ","")&amp;IF(LEN(Rules!$C$247)&lt;5,"Keyword under 5 characters - matches too much. ","")&amp;IF(AND(Rules!$D$247&lt;&gt;"",COUNTIF(Cat_Name,Rules!$D$247)=0),"Category is not on the Categories sheet - rows will fall to Review Required. ","")&amp;IF(Rules!$F$247="Broad","Broad scope - deliberately forces Review Required. ","")&amp;IF(Rules!$G$247&lt;&gt;"Yes","Rule is switched OFF. ","")&amp;IF(AND(Rules!$C$247&lt;&gt;"",Rules!$D$247=""),"Keyword with no category. ","")))</f>
        <v/>
      </c>
    </row>
    <row r="247" spans="2:8" x14ac:dyDescent="0.25">
      <c r="B247" s="73">
        <f>IF(Rules!$C$248="","",Rules!$B$248)</f>
        <v>200</v>
      </c>
      <c r="C247" s="143" t="str">
        <f>IF(Rules!$C$248="","",Rules!$C$248)</f>
        <v>OVERDRAFT</v>
      </c>
      <c r="D247" s="143" t="str">
        <f>IF(Rules!$C$248="","",Rules!$D$248)</f>
        <v>Bank Fees &amp; Service Charges</v>
      </c>
      <c r="E247" s="73" t="str">
        <f>IF(Rules!$C$248="","",Rules!$E$248)</f>
        <v>Out</v>
      </c>
      <c r="F247" s="73" t="str">
        <f>IF(Rules!$C$248="","",Rules!$G$248)</f>
        <v>Yes</v>
      </c>
      <c r="G247" s="144">
        <v>248</v>
      </c>
      <c r="H247" s="145" t="str">
        <f>IF(Rules!$C$248="","",TRIM(IF(COUNTIFS(Rules_Key,Rules!$C$248,Rules_Dir,Rules!$E$248)&gt;1,"Duplicate keyword+direction. ","")&amp;IF(LEN(Rules!$C$248)&lt;5,"Keyword under 5 characters - matches too much. ","")&amp;IF(AND(Rules!$D$248&lt;&gt;"",COUNTIF(Cat_Name,Rules!$D$248)=0),"Category is not on the Categories sheet - rows will fall to Review Required. ","")&amp;IF(Rules!$F$248="Broad","Broad scope - deliberately forces Review Required. ","")&amp;IF(Rules!$G$248&lt;&gt;"Yes","Rule is switched OFF. ","")&amp;IF(AND(Rules!$C$248&lt;&gt;"",Rules!$D$248=""),"Keyword with no category. ","")))</f>
        <v/>
      </c>
    </row>
    <row r="248" spans="2:8" x14ac:dyDescent="0.25">
      <c r="B248" s="75">
        <f>IF(Rules!$C$249="","",Rules!$B$249)</f>
        <v>200</v>
      </c>
      <c r="C248" s="146" t="str">
        <f>IF(Rules!$C$249="","",Rules!$C$249)</f>
        <v>WIRE FEE</v>
      </c>
      <c r="D248" s="146" t="str">
        <f>IF(Rules!$C$249="","",Rules!$D$249)</f>
        <v>Bank Fees &amp; Service Charges</v>
      </c>
      <c r="E248" s="75" t="str">
        <f>IF(Rules!$C$249="","",Rules!$E$249)</f>
        <v>Out</v>
      </c>
      <c r="F248" s="75" t="str">
        <f>IF(Rules!$C$249="","",Rules!$G$249)</f>
        <v>Yes</v>
      </c>
      <c r="G248" s="147">
        <v>249</v>
      </c>
      <c r="H248" s="148" t="str">
        <f>IF(Rules!$C$249="","",TRIM(IF(COUNTIFS(Rules_Key,Rules!$C$249,Rules_Dir,Rules!$E$249)&gt;1,"Duplicate keyword+direction. ","")&amp;IF(LEN(Rules!$C$249)&lt;5,"Keyword under 5 characters - matches too much. ","")&amp;IF(AND(Rules!$D$249&lt;&gt;"",COUNTIF(Cat_Name,Rules!$D$249)=0),"Category is not on the Categories sheet - rows will fall to Review Required. ","")&amp;IF(Rules!$F$249="Broad","Broad scope - deliberately forces Review Required. ","")&amp;IF(Rules!$G$249&lt;&gt;"Yes","Rule is switched OFF. ","")&amp;IF(AND(Rules!$C$249&lt;&gt;"",Rules!$D$249=""),"Keyword with no category. ","")))</f>
        <v/>
      </c>
    </row>
    <row r="249" spans="2:8" x14ac:dyDescent="0.25">
      <c r="B249" s="73">
        <f>IF(Rules!$C$250="","",Rules!$B$250)</f>
        <v>200</v>
      </c>
      <c r="C249" s="143" t="str">
        <f>IF(Rules!$C$250="","",Rules!$C$250)</f>
        <v>INTEREST CHARGE</v>
      </c>
      <c r="D249" s="143" t="str">
        <f>IF(Rules!$C$250="","",Rules!$D$250)</f>
        <v>Interest - Business Credit Cards</v>
      </c>
      <c r="E249" s="73" t="str">
        <f>IF(Rules!$C$250="","",Rules!$E$250)</f>
        <v>Out</v>
      </c>
      <c r="F249" s="73" t="str">
        <f>IF(Rules!$C$250="","",Rules!$G$250)</f>
        <v>Yes</v>
      </c>
      <c r="G249" s="144">
        <v>250</v>
      </c>
      <c r="H249" s="145" t="str">
        <f>IF(Rules!$C$250="","",TRIM(IF(COUNTIFS(Rules_Key,Rules!$C$250,Rules_Dir,Rules!$E$250)&gt;1,"Duplicate keyword+direction. ","")&amp;IF(LEN(Rules!$C$250)&lt;5,"Keyword under 5 characters - matches too much. ","")&amp;IF(AND(Rules!$D$250&lt;&gt;"",COUNTIF(Cat_Name,Rules!$D$250)=0),"Category is not on the Categories sheet - rows will fall to Review Required. ","")&amp;IF(Rules!$F$250="Broad","Broad scope - deliberately forces Review Required. ","")&amp;IF(Rules!$G$250&lt;&gt;"Yes","Rule is switched OFF. ","")&amp;IF(AND(Rules!$C$250&lt;&gt;"",Rules!$D$250=""),"Keyword with no category. ","")))</f>
        <v/>
      </c>
    </row>
    <row r="250" spans="2:8" x14ac:dyDescent="0.25">
      <c r="B250" s="75">
        <f>IF(Rules!$C$251="","",Rules!$B$251)</f>
        <v>200</v>
      </c>
      <c r="C250" s="146" t="str">
        <f>IF(Rules!$C$251="","",Rules!$C$251)</f>
        <v>FINANCE CHARGE</v>
      </c>
      <c r="D250" s="146" t="str">
        <f>IF(Rules!$C$251="","",Rules!$D$251)</f>
        <v>Interest - Business Credit Cards</v>
      </c>
      <c r="E250" s="75" t="str">
        <f>IF(Rules!$C$251="","",Rules!$E$251)</f>
        <v>Out</v>
      </c>
      <c r="F250" s="75" t="str">
        <f>IF(Rules!$C$251="","",Rules!$G$251)</f>
        <v>Yes</v>
      </c>
      <c r="G250" s="147">
        <v>251</v>
      </c>
      <c r="H250" s="148" t="str">
        <f>IF(Rules!$C$251="","",TRIM(IF(COUNTIFS(Rules_Key,Rules!$C$251,Rules_Dir,Rules!$E$251)&gt;1,"Duplicate keyword+direction. ","")&amp;IF(LEN(Rules!$C$251)&lt;5,"Keyword under 5 characters - matches too much. ","")&amp;IF(AND(Rules!$D$251&lt;&gt;"",COUNTIF(Cat_Name,Rules!$D$251)=0),"Category is not on the Categories sheet - rows will fall to Review Required. ","")&amp;IF(Rules!$F$251="Broad","Broad scope - deliberately forces Review Required. ","")&amp;IF(Rules!$G$251&lt;&gt;"Yes","Rule is switched OFF. ","")&amp;IF(AND(Rules!$C$251&lt;&gt;"",Rules!$D$251=""),"Keyword with no category. ","")))</f>
        <v/>
      </c>
    </row>
    <row r="251" spans="2:8" x14ac:dyDescent="0.25">
      <c r="B251" s="73">
        <f>IF(Rules!$C$252="","",Rules!$B$252)</f>
        <v>200</v>
      </c>
      <c r="C251" s="143" t="str">
        <f>IF(Rules!$C$252="","",Rules!$C$252)</f>
        <v>INTEREST EARNED</v>
      </c>
      <c r="D251" s="143" t="str">
        <f>IF(Rules!$C$252="","",Rules!$D$252)</f>
        <v>Interest Income</v>
      </c>
      <c r="E251" s="73" t="str">
        <f>IF(Rules!$C$252="","",Rules!$E$252)</f>
        <v>In</v>
      </c>
      <c r="F251" s="73" t="str">
        <f>IF(Rules!$C$252="","",Rules!$G$252)</f>
        <v>Yes</v>
      </c>
      <c r="G251" s="144">
        <v>252</v>
      </c>
      <c r="H251" s="145" t="str">
        <f>IF(Rules!$C$252="","",TRIM(IF(COUNTIFS(Rules_Key,Rules!$C$252,Rules_Dir,Rules!$E$252)&gt;1,"Duplicate keyword+direction. ","")&amp;IF(LEN(Rules!$C$252)&lt;5,"Keyword under 5 characters - matches too much. ","")&amp;IF(AND(Rules!$D$252&lt;&gt;"",COUNTIF(Cat_Name,Rules!$D$252)=0),"Category is not on the Categories sheet - rows will fall to Review Required. ","")&amp;IF(Rules!$F$252="Broad","Broad scope - deliberately forces Review Required. ","")&amp;IF(Rules!$G$252&lt;&gt;"Yes","Rule is switched OFF. ","")&amp;IF(AND(Rules!$C$252&lt;&gt;"",Rules!$D$252=""),"Keyword with no category. ","")))</f>
        <v/>
      </c>
    </row>
    <row r="252" spans="2:8" x14ac:dyDescent="0.25">
      <c r="B252" s="75">
        <f>IF(Rules!$C$253="","",Rules!$B$253)</f>
        <v>200</v>
      </c>
      <c r="C252" s="146" t="str">
        <f>IF(Rules!$C$253="","",Rules!$C$253)</f>
        <v>INTEREST PAID TO</v>
      </c>
      <c r="D252" s="146" t="str">
        <f>IF(Rules!$C$253="","",Rules!$D$253)</f>
        <v>Interest Income</v>
      </c>
      <c r="E252" s="75" t="str">
        <f>IF(Rules!$C$253="","",Rules!$E$253)</f>
        <v>In</v>
      </c>
      <c r="F252" s="75" t="str">
        <f>IF(Rules!$C$253="","",Rules!$G$253)</f>
        <v>Yes</v>
      </c>
      <c r="G252" s="147">
        <v>253</v>
      </c>
      <c r="H252" s="148" t="str">
        <f>IF(Rules!$C$253="","",TRIM(IF(COUNTIFS(Rules_Key,Rules!$C$253,Rules_Dir,Rules!$E$253)&gt;1,"Duplicate keyword+direction. ","")&amp;IF(LEN(Rules!$C$253)&lt;5,"Keyword under 5 characters - matches too much. ","")&amp;IF(AND(Rules!$D$253&lt;&gt;"",COUNTIF(Cat_Name,Rules!$D$253)=0),"Category is not on the Categories sheet - rows will fall to Review Required. ","")&amp;IF(Rules!$F$253="Broad","Broad scope - deliberately forces Review Required. ","")&amp;IF(Rules!$G$253&lt;&gt;"Yes","Rule is switched OFF. ","")&amp;IF(AND(Rules!$C$253&lt;&gt;"",Rules!$D$253=""),"Keyword with no category. ","")))</f>
        <v/>
      </c>
    </row>
    <row r="253" spans="2:8" x14ac:dyDescent="0.25">
      <c r="B253" s="73">
        <f>IF(Rules!$C$254="","",Rules!$B$254)</f>
        <v>200</v>
      </c>
      <c r="C253" s="143" t="str">
        <f>IF(Rules!$C$254="","",Rules!$C$254)</f>
        <v>LOAN PAYMENT</v>
      </c>
      <c r="D253" s="143" t="str">
        <f>IF(Rules!$C$254="","",Rules!$D$254)</f>
        <v>Loan Principal Payment</v>
      </c>
      <c r="E253" s="73" t="str">
        <f>IF(Rules!$C$254="","",Rules!$E$254)</f>
        <v>Out</v>
      </c>
      <c r="F253" s="73" t="str">
        <f>IF(Rules!$C$254="","",Rules!$G$254)</f>
        <v>Yes</v>
      </c>
      <c r="G253" s="144">
        <v>254</v>
      </c>
      <c r="H253" s="145" t="str">
        <f>IF(Rules!$C$254="","",TRIM(IF(COUNTIFS(Rules_Key,Rules!$C$254,Rules_Dir,Rules!$E$254)&gt;1,"Duplicate keyword+direction. ","")&amp;IF(LEN(Rules!$C$254)&lt;5,"Keyword under 5 characters - matches too much. ","")&amp;IF(AND(Rules!$D$254&lt;&gt;"",COUNTIF(Cat_Name,Rules!$D$254)=0),"Category is not on the Categories sheet - rows will fall to Review Required. ","")&amp;IF(Rules!$F$254="Broad","Broad scope - deliberately forces Review Required. ","")&amp;IF(Rules!$G$254&lt;&gt;"Yes","Rule is switched OFF. ","")&amp;IF(AND(Rules!$C$254&lt;&gt;"",Rules!$D$254=""),"Keyword with no category. ","")))</f>
        <v/>
      </c>
    </row>
    <row r="254" spans="2:8" x14ac:dyDescent="0.25">
      <c r="B254" s="75">
        <f>IF(Rules!$C$255="","",Rules!$B$255)</f>
        <v>200</v>
      </c>
      <c r="C254" s="146" t="str">
        <f>IF(Rules!$C$255="","",Rules!$C$255)</f>
        <v>FRANCHISE TAX</v>
      </c>
      <c r="D254" s="146" t="str">
        <f>IF(Rules!$C$255="","",Rules!$D$255)</f>
        <v>Taxes &amp; Fees - Business</v>
      </c>
      <c r="E254" s="75" t="str">
        <f>IF(Rules!$C$255="","",Rules!$E$255)</f>
        <v>Out</v>
      </c>
      <c r="F254" s="75" t="str">
        <f>IF(Rules!$C$255="","",Rules!$G$255)</f>
        <v>Yes</v>
      </c>
      <c r="G254" s="147">
        <v>255</v>
      </c>
      <c r="H254" s="148" t="str">
        <f>IF(Rules!$C$255="","",TRIM(IF(COUNTIFS(Rules_Key,Rules!$C$255,Rules_Dir,Rules!$E$255)&gt;1,"Duplicate keyword+direction. ","")&amp;IF(LEN(Rules!$C$255)&lt;5,"Keyword under 5 characters - matches too much. ","")&amp;IF(AND(Rules!$D$255&lt;&gt;"",COUNTIF(Cat_Name,Rules!$D$255)=0),"Category is not on the Categories sheet - rows will fall to Review Required. ","")&amp;IF(Rules!$F$255="Broad","Broad scope - deliberately forces Review Required. ","")&amp;IF(Rules!$G$255&lt;&gt;"Yes","Rule is switched OFF. ","")&amp;IF(AND(Rules!$C$255&lt;&gt;"",Rules!$D$255=""),"Keyword with no category. ","")))</f>
        <v/>
      </c>
    </row>
    <row r="255" spans="2:8" x14ac:dyDescent="0.25">
      <c r="B255" s="73">
        <f>IF(Rules!$C$256="","",Rules!$B$256)</f>
        <v>200</v>
      </c>
      <c r="C255" s="143" t="str">
        <f>IF(Rules!$C$256="","",Rules!$C$256)</f>
        <v>COMPTROLLER</v>
      </c>
      <c r="D255" s="143" t="str">
        <f>IF(Rules!$C$256="","",Rules!$D$256)</f>
        <v>Taxes &amp; Fees - Business</v>
      </c>
      <c r="E255" s="73" t="str">
        <f>IF(Rules!$C$256="","",Rules!$E$256)</f>
        <v>Out</v>
      </c>
      <c r="F255" s="73" t="str">
        <f>IF(Rules!$C$256="","",Rules!$G$256)</f>
        <v>Yes</v>
      </c>
      <c r="G255" s="144">
        <v>256</v>
      </c>
      <c r="H255" s="145" t="str">
        <f>IF(Rules!$C$256="","",TRIM(IF(COUNTIFS(Rules_Key,Rules!$C$256,Rules_Dir,Rules!$E$256)&gt;1,"Duplicate keyword+direction. ","")&amp;IF(LEN(Rules!$C$256)&lt;5,"Keyword under 5 characters - matches too much. ","")&amp;IF(AND(Rules!$D$256&lt;&gt;"",COUNTIF(Cat_Name,Rules!$D$256)=0),"Category is not on the Categories sheet - rows will fall to Review Required. ","")&amp;IF(Rules!$F$256="Broad","Broad scope - deliberately forces Review Required. ","")&amp;IF(Rules!$G$256&lt;&gt;"Yes","Rule is switched OFF. ","")&amp;IF(AND(Rules!$C$256&lt;&gt;"",Rules!$D$256=""),"Keyword with no category. ","")))</f>
        <v/>
      </c>
    </row>
    <row r="256" spans="2:8" x14ac:dyDescent="0.25">
      <c r="B256" s="75">
        <f>IF(Rules!$C$257="","",Rules!$B$257)</f>
        <v>200</v>
      </c>
      <c r="C256" s="146" t="str">
        <f>IF(Rules!$C$257="","",Rules!$C$257)</f>
        <v>OWNER DRAW</v>
      </c>
      <c r="D256" s="146" t="str">
        <f>IF(Rules!$C$257="","",Rules!$D$257)</f>
        <v>Owner Draw / Distribution</v>
      </c>
      <c r="E256" s="75" t="str">
        <f>IF(Rules!$C$257="","",Rules!$E$257)</f>
        <v>Out</v>
      </c>
      <c r="F256" s="75" t="str">
        <f>IF(Rules!$C$257="","",Rules!$G$257)</f>
        <v>Yes</v>
      </c>
      <c r="G256" s="147">
        <v>257</v>
      </c>
      <c r="H256" s="148" t="str">
        <f>IF(Rules!$C$257="","",TRIM(IF(COUNTIFS(Rules_Key,Rules!$C$257,Rules_Dir,Rules!$E$257)&gt;1,"Duplicate keyword+direction. ","")&amp;IF(LEN(Rules!$C$257)&lt;5,"Keyword under 5 characters - matches too much. ","")&amp;IF(AND(Rules!$D$257&lt;&gt;"",COUNTIF(Cat_Name,Rules!$D$257)=0),"Category is not on the Categories sheet - rows will fall to Review Required. ","")&amp;IF(Rules!$F$257="Broad","Broad scope - deliberately forces Review Required. ","")&amp;IF(Rules!$G$257&lt;&gt;"Yes","Rule is switched OFF. ","")&amp;IF(AND(Rules!$C$257&lt;&gt;"",Rules!$D$257=""),"Keyword with no category. ","")))</f>
        <v/>
      </c>
    </row>
    <row r="257" spans="2:8" x14ac:dyDescent="0.25">
      <c r="B257" s="73">
        <f>IF(Rules!$C$258="","",Rules!$B$258)</f>
        <v>200</v>
      </c>
      <c r="C257" s="143" t="str">
        <f>IF(Rules!$C$258="","",Rules!$C$258)</f>
        <v>MEMBER DRAW</v>
      </c>
      <c r="D257" s="143" t="str">
        <f>IF(Rules!$C$258="","",Rules!$D$258)</f>
        <v>Owner Draw / Distribution</v>
      </c>
      <c r="E257" s="73" t="str">
        <f>IF(Rules!$C$258="","",Rules!$E$258)</f>
        <v>Out</v>
      </c>
      <c r="F257" s="73" t="str">
        <f>IF(Rules!$C$258="","",Rules!$G$258)</f>
        <v>Yes</v>
      </c>
      <c r="G257" s="144">
        <v>258</v>
      </c>
      <c r="H257" s="145" t="str">
        <f>IF(Rules!$C$258="","",TRIM(IF(COUNTIFS(Rules_Key,Rules!$C$258,Rules_Dir,Rules!$E$258)&gt;1,"Duplicate keyword+direction. ","")&amp;IF(LEN(Rules!$C$258)&lt;5,"Keyword under 5 characters - matches too much. ","")&amp;IF(AND(Rules!$D$258&lt;&gt;"",COUNTIF(Cat_Name,Rules!$D$258)=0),"Category is not on the Categories sheet - rows will fall to Review Required. ","")&amp;IF(Rules!$F$258="Broad","Broad scope - deliberately forces Review Required. ","")&amp;IF(Rules!$G$258&lt;&gt;"Yes","Rule is switched OFF. ","")&amp;IF(AND(Rules!$C$258&lt;&gt;"",Rules!$D$258=""),"Keyword with no category. ","")))</f>
        <v/>
      </c>
    </row>
    <row r="258" spans="2:8" x14ac:dyDescent="0.25">
      <c r="B258" s="75">
        <f>IF(Rules!$C$259="","",Rules!$B$259)</f>
        <v>400</v>
      </c>
      <c r="C258" s="146" t="str">
        <f>IF(Rules!$C$259="","",Rules!$C$259)</f>
        <v>DISTRIBUTION</v>
      </c>
      <c r="D258" s="146" t="str">
        <f>IF(Rules!$C$259="","",Rules!$D$259)</f>
        <v>Owner Draw / Distribution</v>
      </c>
      <c r="E258" s="75" t="str">
        <f>IF(Rules!$C$259="","",Rules!$E$259)</f>
        <v>Out</v>
      </c>
      <c r="F258" s="75" t="str">
        <f>IF(Rules!$C$259="","",Rules!$G$259)</f>
        <v>Yes</v>
      </c>
      <c r="G258" s="147">
        <v>259</v>
      </c>
      <c r="H258" s="148" t="str">
        <f>IF(Rules!$C$259="","",TRIM(IF(COUNTIFS(Rules_Key,Rules!$C$259,Rules_Dir,Rules!$E$259)&gt;1,"Duplicate keyword+direction. ","")&amp;IF(LEN(Rules!$C$259)&lt;5,"Keyword under 5 characters - matches too much. ","")&amp;IF(AND(Rules!$D$259&lt;&gt;"",COUNTIF(Cat_Name,Rules!$D$259)=0),"Category is not on the Categories sheet - rows will fall to Review Required. ","")&amp;IF(Rules!$F$259="Broad","Broad scope - deliberately forces Review Required. ","")&amp;IF(Rules!$G$259&lt;&gt;"Yes","Rule is switched OFF. ","")&amp;IF(AND(Rules!$C$259&lt;&gt;"",Rules!$D$259=""),"Keyword with no category. ","")))</f>
        <v/>
      </c>
    </row>
    <row r="259" spans="2:8" x14ac:dyDescent="0.25">
      <c r="B259" s="73">
        <f>IF(Rules!$C$260="","",Rules!$B$260)</f>
        <v>200</v>
      </c>
      <c r="C259" s="143" t="str">
        <f>IF(Rules!$C$260="","",Rules!$C$260)</f>
        <v>OWNER CONTRIB</v>
      </c>
      <c r="D259" s="143" t="str">
        <f>IF(Rules!$C$260="","",Rules!$D$260)</f>
        <v>Owner Contribution / Capital In</v>
      </c>
      <c r="E259" s="73" t="str">
        <f>IF(Rules!$C$260="","",Rules!$E$260)</f>
        <v>In</v>
      </c>
      <c r="F259" s="73" t="str">
        <f>IF(Rules!$C$260="","",Rules!$G$260)</f>
        <v>Yes</v>
      </c>
      <c r="G259" s="144">
        <v>260</v>
      </c>
      <c r="H259" s="145" t="str">
        <f>IF(Rules!$C$260="","",TRIM(IF(COUNTIFS(Rules_Key,Rules!$C$260,Rules_Dir,Rules!$E$260)&gt;1,"Duplicate keyword+direction. ","")&amp;IF(LEN(Rules!$C$260)&lt;5,"Keyword under 5 characters - matches too much. ","")&amp;IF(AND(Rules!$D$260&lt;&gt;"",COUNTIF(Cat_Name,Rules!$D$260)=0),"Category is not on the Categories sheet - rows will fall to Review Required. ","")&amp;IF(Rules!$F$260="Broad","Broad scope - deliberately forces Review Required. ","")&amp;IF(Rules!$G$260&lt;&gt;"Yes","Rule is switched OFF. ","")&amp;IF(AND(Rules!$C$260&lt;&gt;"",Rules!$D$260=""),"Keyword with no category. ","")))</f>
        <v/>
      </c>
    </row>
    <row r="260" spans="2:8" x14ac:dyDescent="0.25">
      <c r="B260" s="75">
        <f>IF(Rules!$C$261="","",Rules!$B$261)</f>
        <v>200</v>
      </c>
      <c r="C260" s="146" t="str">
        <f>IF(Rules!$C$261="","",Rules!$C$261)</f>
        <v>CAPITAL CONTRIB</v>
      </c>
      <c r="D260" s="146" t="str">
        <f>IF(Rules!$C$261="","",Rules!$D$261)</f>
        <v>Owner Contribution / Capital In</v>
      </c>
      <c r="E260" s="75" t="str">
        <f>IF(Rules!$C$261="","",Rules!$E$261)</f>
        <v>In</v>
      </c>
      <c r="F260" s="75" t="str">
        <f>IF(Rules!$C$261="","",Rules!$G$261)</f>
        <v>Yes</v>
      </c>
      <c r="G260" s="147">
        <v>261</v>
      </c>
      <c r="H260" s="148" t="str">
        <f>IF(Rules!$C$261="","",TRIM(IF(COUNTIFS(Rules_Key,Rules!$C$261,Rules_Dir,Rules!$E$261)&gt;1,"Duplicate keyword+direction. ","")&amp;IF(LEN(Rules!$C$261)&lt;5,"Keyword under 5 characters - matches too much. ","")&amp;IF(AND(Rules!$D$261&lt;&gt;"",COUNTIF(Cat_Name,Rules!$D$261)=0),"Category is not on the Categories sheet - rows will fall to Review Required. ","")&amp;IF(Rules!$F$261="Broad","Broad scope - deliberately forces Review Required. ","")&amp;IF(Rules!$G$261&lt;&gt;"Yes","Rule is switched OFF. ","")&amp;IF(AND(Rules!$C$261&lt;&gt;"",Rules!$D$261=""),"Keyword with no category. ","")))</f>
        <v/>
      </c>
    </row>
    <row r="261" spans="2:8" x14ac:dyDescent="0.25">
      <c r="B261" s="73">
        <f>IF(Rules!$C$262="","",Rules!$B$262)</f>
        <v>200</v>
      </c>
      <c r="C261" s="143" t="str">
        <f>IF(Rules!$C$262="","",Rules!$C$262)</f>
        <v>VANGUARD</v>
      </c>
      <c r="D261" s="143" t="str">
        <f>IF(Rules!$C$262="","",Rules!$D$262)</f>
        <v>Owner Retirement Contribution</v>
      </c>
      <c r="E261" s="73" t="str">
        <f>IF(Rules!$C$262="","",Rules!$E$262)</f>
        <v>Out</v>
      </c>
      <c r="F261" s="73" t="str">
        <f>IF(Rules!$C$262="","",Rules!$G$262)</f>
        <v>Yes</v>
      </c>
      <c r="G261" s="144">
        <v>262</v>
      </c>
      <c r="H261" s="145" t="str">
        <f>IF(Rules!$C$262="","",TRIM(IF(COUNTIFS(Rules_Key,Rules!$C$262,Rules_Dir,Rules!$E$262)&gt;1,"Duplicate keyword+direction. ","")&amp;IF(LEN(Rules!$C$262)&lt;5,"Keyword under 5 characters - matches too much. ","")&amp;IF(AND(Rules!$D$262&lt;&gt;"",COUNTIF(Cat_Name,Rules!$D$262)=0),"Category is not on the Categories sheet - rows will fall to Review Required. ","")&amp;IF(Rules!$F$262="Broad","Broad scope - deliberately forces Review Required. ","")&amp;IF(Rules!$G$262&lt;&gt;"Yes","Rule is switched OFF. ","")&amp;IF(AND(Rules!$C$262&lt;&gt;"",Rules!$D$262=""),"Keyword with no category. ","")))</f>
        <v/>
      </c>
    </row>
    <row r="262" spans="2:8" x14ac:dyDescent="0.25">
      <c r="B262" s="75">
        <f>IF(Rules!$C$263="","",Rules!$B$263)</f>
        <v>200</v>
      </c>
      <c r="C262" s="146" t="str">
        <f>IF(Rules!$C$263="","",Rules!$C$263)</f>
        <v>FIDELITY</v>
      </c>
      <c r="D262" s="146" t="str">
        <f>IF(Rules!$C$263="","",Rules!$D$263)</f>
        <v>Owner Retirement Contribution</v>
      </c>
      <c r="E262" s="75" t="str">
        <f>IF(Rules!$C$263="","",Rules!$E$263)</f>
        <v>Out</v>
      </c>
      <c r="F262" s="75" t="str">
        <f>IF(Rules!$C$263="","",Rules!$G$263)</f>
        <v>Yes</v>
      </c>
      <c r="G262" s="147">
        <v>263</v>
      </c>
      <c r="H262" s="148" t="str">
        <f>IF(Rules!$C$263="","",TRIM(IF(COUNTIFS(Rules_Key,Rules!$C$263,Rules_Dir,Rules!$E$263)&gt;1,"Duplicate keyword+direction. ","")&amp;IF(LEN(Rules!$C$263)&lt;5,"Keyword under 5 characters - matches too much. ","")&amp;IF(AND(Rules!$D$263&lt;&gt;"",COUNTIF(Cat_Name,Rules!$D$263)=0),"Category is not on the Categories sheet - rows will fall to Review Required. ","")&amp;IF(Rules!$F$263="Broad","Broad scope - deliberately forces Review Required. ","")&amp;IF(Rules!$G$263&lt;&gt;"Yes","Rule is switched OFF. ","")&amp;IF(AND(Rules!$C$263&lt;&gt;"",Rules!$D$263=""),"Keyword with no category. ","")))</f>
        <v/>
      </c>
    </row>
    <row r="263" spans="2:8" x14ac:dyDescent="0.25">
      <c r="B263" s="73">
        <f>IF(Rules!$C$264="","",Rules!$B$264)</f>
        <v>200</v>
      </c>
      <c r="C263" s="143" t="str">
        <f>IF(Rules!$C$264="","",Rules!$C$264)</f>
        <v>SOLO 401</v>
      </c>
      <c r="D263" s="143" t="str">
        <f>IF(Rules!$C$264="","",Rules!$D$264)</f>
        <v>Owner Retirement Contribution</v>
      </c>
      <c r="E263" s="73" t="str">
        <f>IF(Rules!$C$264="","",Rules!$E$264)</f>
        <v>Out</v>
      </c>
      <c r="F263" s="73" t="str">
        <f>IF(Rules!$C$264="","",Rules!$G$264)</f>
        <v>Yes</v>
      </c>
      <c r="G263" s="144">
        <v>264</v>
      </c>
      <c r="H263" s="145" t="str">
        <f>IF(Rules!$C$264="","",TRIM(IF(COUNTIFS(Rules_Key,Rules!$C$264,Rules_Dir,Rules!$E$264)&gt;1,"Duplicate keyword+direction. ","")&amp;IF(LEN(Rules!$C$264)&lt;5,"Keyword under 5 characters - matches too much. ","")&amp;IF(AND(Rules!$D$264&lt;&gt;"",COUNTIF(Cat_Name,Rules!$D$264)=0),"Category is not on the Categories sheet - rows will fall to Review Required. ","")&amp;IF(Rules!$F$264="Broad","Broad scope - deliberately forces Review Required. ","")&amp;IF(Rules!$G$264&lt;&gt;"Yes","Rule is switched OFF. ","")&amp;IF(AND(Rules!$C$264&lt;&gt;"",Rules!$D$264=""),"Keyword with no category. ","")))</f>
        <v/>
      </c>
    </row>
    <row r="264" spans="2:8" x14ac:dyDescent="0.25">
      <c r="B264" s="75">
        <f>IF(Rules!$C$265="","",Rules!$B$265)</f>
        <v>200</v>
      </c>
      <c r="C264" s="146" t="str">
        <f>IF(Rules!$C$265="","",Rules!$C$265)</f>
        <v>SEP IRA</v>
      </c>
      <c r="D264" s="146" t="str">
        <f>IF(Rules!$C$265="","",Rules!$D$265)</f>
        <v>Owner Retirement Contribution</v>
      </c>
      <c r="E264" s="75" t="str">
        <f>IF(Rules!$C$265="","",Rules!$E$265)</f>
        <v>Out</v>
      </c>
      <c r="F264" s="75" t="str">
        <f>IF(Rules!$C$265="","",Rules!$G$265)</f>
        <v>Yes</v>
      </c>
      <c r="G264" s="147">
        <v>265</v>
      </c>
      <c r="H264" s="148" t="str">
        <f>IF(Rules!$C$265="","",TRIM(IF(COUNTIFS(Rules_Key,Rules!$C$265,Rules_Dir,Rules!$E$265)&gt;1,"Duplicate keyword+direction. ","")&amp;IF(LEN(Rules!$C$265)&lt;5,"Keyword under 5 characters - matches too much. ","")&amp;IF(AND(Rules!$D$265&lt;&gt;"",COUNTIF(Cat_Name,Rules!$D$265)=0),"Category is not on the Categories sheet - rows will fall to Review Required. ","")&amp;IF(Rules!$F$265="Broad","Broad scope - deliberately forces Review Required. ","")&amp;IF(Rules!$G$265&lt;&gt;"Yes","Rule is switched OFF. ","")&amp;IF(AND(Rules!$C$265&lt;&gt;"",Rules!$D$265=""),"Keyword with no category. ","")))</f>
        <v/>
      </c>
    </row>
    <row r="265" spans="2:8" x14ac:dyDescent="0.25">
      <c r="B265" s="73">
        <f>IF(Rules!$C$266="","",Rules!$B$266)</f>
        <v>200</v>
      </c>
      <c r="C265" s="143" t="str">
        <f>IF(Rules!$C$266="","",Rules!$C$266)</f>
        <v>TRANSFER</v>
      </c>
      <c r="D265" s="143" t="str">
        <f>IF(Rules!$C$266="","",Rules!$D$266)</f>
        <v>Review Required - Other</v>
      </c>
      <c r="E265" s="73" t="str">
        <f>IF(Rules!$C$266="","",Rules!$E$266)</f>
        <v>Any</v>
      </c>
      <c r="F265" s="73" t="str">
        <f>IF(Rules!$C$266="","",Rules!$G$266)</f>
        <v>Yes</v>
      </c>
      <c r="G265" s="144">
        <v>266</v>
      </c>
      <c r="H265" s="145" t="str">
        <f>IF(Rules!$C$266="","",TRIM(IF(COUNTIFS(Rules_Key,Rules!$C$266,Rules_Dir,Rules!$E$266)&gt;1,"Duplicate keyword+direction. ","")&amp;IF(LEN(Rules!$C$266)&lt;5,"Keyword under 5 characters - matches too much. ","")&amp;IF(AND(Rules!$D$266&lt;&gt;"",COUNTIF(Cat_Name,Rules!$D$266)=0),"Category is not on the Categories sheet - rows will fall to Review Required. ","")&amp;IF(Rules!$F$266="Broad","Broad scope - deliberately forces Review Required. ","")&amp;IF(Rules!$G$266&lt;&gt;"Yes","Rule is switched OFF. ","")&amp;IF(AND(Rules!$C$266&lt;&gt;"",Rules!$D$266=""),"Keyword with no category. ","")))</f>
        <v/>
      </c>
    </row>
    <row r="266" spans="2:8" x14ac:dyDescent="0.25">
      <c r="B266" s="75">
        <f>IF(Rules!$C$267="","",Rules!$B$267)</f>
        <v>200</v>
      </c>
      <c r="C266" s="146" t="str">
        <f>IF(Rules!$C$267="","",Rules!$C$267)</f>
        <v>XFER</v>
      </c>
      <c r="D266" s="146" t="str">
        <f>IF(Rules!$C$267="","",Rules!$D$267)</f>
        <v>Transfer Between Owned Accounts</v>
      </c>
      <c r="E266" s="75" t="str">
        <f>IF(Rules!$C$267="","",Rules!$E$267)</f>
        <v>Any</v>
      </c>
      <c r="F266" s="75" t="str">
        <f>IF(Rules!$C$267="","",Rules!$G$267)</f>
        <v>Yes</v>
      </c>
      <c r="G266" s="147">
        <v>267</v>
      </c>
      <c r="H266" s="148" t="str">
        <f>IF(Rules!$C$267="","",TRIM(IF(COUNTIFS(Rules_Key,Rules!$C$267,Rules_Dir,Rules!$E$267)&gt;1,"Duplicate keyword+direction. ","")&amp;IF(LEN(Rules!$C$267)&lt;5,"Keyword under 5 characters - matches too much. ","")&amp;IF(AND(Rules!$D$267&lt;&gt;"",COUNTIF(Cat_Name,Rules!$D$267)=0),"Category is not on the Categories sheet - rows will fall to Review Required. ","")&amp;IF(Rules!$F$267="Broad","Broad scope - deliberately forces Review Required. ","")&amp;IF(Rules!$G$267&lt;&gt;"Yes","Rule is switched OFF. ","")&amp;IF(AND(Rules!$C$267&lt;&gt;"",Rules!$D$267=""),"Keyword with no category. ","")))</f>
        <v>Keyword under 5 characters - matches too much.</v>
      </c>
    </row>
    <row r="267" spans="2:8" x14ac:dyDescent="0.25">
      <c r="B267" s="73">
        <f>IF(Rules!$C$268="","",Rules!$B$268)</f>
        <v>200</v>
      </c>
      <c r="C267" s="143" t="str">
        <f>IF(Rules!$C$268="","",Rules!$C$268)</f>
        <v>VISA PAYMENT</v>
      </c>
      <c r="D267" s="143" t="str">
        <f>IF(Rules!$C$268="","",Rules!$D$268)</f>
        <v>Credit Card Payment</v>
      </c>
      <c r="E267" s="73" t="str">
        <f>IF(Rules!$C$268="","",Rules!$E$268)</f>
        <v>Any</v>
      </c>
      <c r="F267" s="73" t="str">
        <f>IF(Rules!$C$268="","",Rules!$G$268)</f>
        <v>Yes</v>
      </c>
      <c r="G267" s="144">
        <v>268</v>
      </c>
      <c r="H267" s="145" t="str">
        <f>IF(Rules!$C$268="","",TRIM(IF(COUNTIFS(Rules_Key,Rules!$C$268,Rules_Dir,Rules!$E$268)&gt;1,"Duplicate keyword+direction. ","")&amp;IF(LEN(Rules!$C$268)&lt;5,"Keyword under 5 characters - matches too much. ","")&amp;IF(AND(Rules!$D$268&lt;&gt;"",COUNTIF(Cat_Name,Rules!$D$268)=0),"Category is not on the Categories sheet - rows will fall to Review Required. ","")&amp;IF(Rules!$F$268="Broad","Broad scope - deliberately forces Review Required. ","")&amp;IF(Rules!$G$268&lt;&gt;"Yes","Rule is switched OFF. ","")&amp;IF(AND(Rules!$C$268&lt;&gt;"",Rules!$D$268=""),"Keyword with no category. ","")))</f>
        <v/>
      </c>
    </row>
    <row r="268" spans="2:8" x14ac:dyDescent="0.25">
      <c r="B268" s="75">
        <f>IF(Rules!$C$269="","",Rules!$B$269)</f>
        <v>200</v>
      </c>
      <c r="C268" s="146" t="str">
        <f>IF(Rules!$C$269="","",Rules!$C$269)</f>
        <v>CARD PAYMENT</v>
      </c>
      <c r="D268" s="146" t="str">
        <f>IF(Rules!$C$269="","",Rules!$D$269)</f>
        <v>Credit Card Payment</v>
      </c>
      <c r="E268" s="75" t="str">
        <f>IF(Rules!$C$269="","",Rules!$E$269)</f>
        <v>Any</v>
      </c>
      <c r="F268" s="75" t="str">
        <f>IF(Rules!$C$269="","",Rules!$G$269)</f>
        <v>Yes</v>
      </c>
      <c r="G268" s="147">
        <v>269</v>
      </c>
      <c r="H268" s="148" t="str">
        <f>IF(Rules!$C$269="","",TRIM(IF(COUNTIFS(Rules_Key,Rules!$C$269,Rules_Dir,Rules!$E$269)&gt;1,"Duplicate keyword+direction. ","")&amp;IF(LEN(Rules!$C$269)&lt;5,"Keyword under 5 characters - matches too much. ","")&amp;IF(AND(Rules!$D$269&lt;&gt;"",COUNTIF(Cat_Name,Rules!$D$269)=0),"Category is not on the Categories sheet - rows will fall to Review Required. ","")&amp;IF(Rules!$F$269="Broad","Broad scope - deliberately forces Review Required. ","")&amp;IF(Rules!$G$269&lt;&gt;"Yes","Rule is switched OFF. ","")&amp;IF(AND(Rules!$C$269&lt;&gt;"",Rules!$D$269=""),"Keyword with no category. ","")))</f>
        <v/>
      </c>
    </row>
    <row r="269" spans="2:8" x14ac:dyDescent="0.25">
      <c r="B269" s="73">
        <f>IF(Rules!$C$270="","",Rules!$B$270)</f>
        <v>200</v>
      </c>
      <c r="C269" s="143" t="str">
        <f>IF(Rules!$C$270="","",Rules!$C$270)</f>
        <v>CREDIT CARD PMT</v>
      </c>
      <c r="D269" s="143" t="str">
        <f>IF(Rules!$C$270="","",Rules!$D$270)</f>
        <v>Credit Card Payment</v>
      </c>
      <c r="E269" s="73" t="str">
        <f>IF(Rules!$C$270="","",Rules!$E$270)</f>
        <v>Any</v>
      </c>
      <c r="F269" s="73" t="str">
        <f>IF(Rules!$C$270="","",Rules!$G$270)</f>
        <v>Yes</v>
      </c>
      <c r="G269" s="144">
        <v>270</v>
      </c>
      <c r="H269" s="145" t="str">
        <f>IF(Rules!$C$270="","",TRIM(IF(COUNTIFS(Rules_Key,Rules!$C$270,Rules_Dir,Rules!$E$270)&gt;1,"Duplicate keyword+direction. ","")&amp;IF(LEN(Rules!$C$270)&lt;5,"Keyword under 5 characters - matches too much. ","")&amp;IF(AND(Rules!$D$270&lt;&gt;"",COUNTIF(Cat_Name,Rules!$D$270)=0),"Category is not on the Categories sheet - rows will fall to Review Required. ","")&amp;IF(Rules!$F$270="Broad","Broad scope - deliberately forces Review Required. ","")&amp;IF(Rules!$G$270&lt;&gt;"Yes","Rule is switched OFF. ","")&amp;IF(AND(Rules!$C$270&lt;&gt;"",Rules!$D$270=""),"Keyword with no category. ","")))</f>
        <v/>
      </c>
    </row>
    <row r="270" spans="2:8" x14ac:dyDescent="0.25">
      <c r="B270" s="75">
        <f>IF(Rules!$C$271="","",Rules!$B$271)</f>
        <v>200</v>
      </c>
      <c r="C270" s="146" t="str">
        <f>IF(Rules!$C$271="","",Rules!$C$271)</f>
        <v>PAYMENT THANK YOU</v>
      </c>
      <c r="D270" s="146" t="str">
        <f>IF(Rules!$C$271="","",Rules!$D$271)</f>
        <v>Credit Card Payment</v>
      </c>
      <c r="E270" s="75" t="str">
        <f>IF(Rules!$C$271="","",Rules!$E$271)</f>
        <v>Any</v>
      </c>
      <c r="F270" s="75" t="str">
        <f>IF(Rules!$C$271="","",Rules!$G$271)</f>
        <v>Yes</v>
      </c>
      <c r="G270" s="147">
        <v>271</v>
      </c>
      <c r="H270" s="148" t="str">
        <f>IF(Rules!$C$271="","",TRIM(IF(COUNTIFS(Rules_Key,Rules!$C$271,Rules_Dir,Rules!$E$271)&gt;1,"Duplicate keyword+direction. ","")&amp;IF(LEN(Rules!$C$271)&lt;5,"Keyword under 5 characters - matches too much. ","")&amp;IF(AND(Rules!$D$271&lt;&gt;"",COUNTIF(Cat_Name,Rules!$D$271)=0),"Category is not on the Categories sheet - rows will fall to Review Required. ","")&amp;IF(Rules!$F$271="Broad","Broad scope - deliberately forces Review Required. ","")&amp;IF(Rules!$G$271&lt;&gt;"Yes","Rule is switched OFF. ","")&amp;IF(AND(Rules!$C$271&lt;&gt;"",Rules!$D$271=""),"Keyword with no category. ","")))</f>
        <v/>
      </c>
    </row>
    <row r="271" spans="2:8" x14ac:dyDescent="0.25">
      <c r="B271" s="73">
        <f>IF(Rules!$C$272="","",Rules!$B$272)</f>
        <v>200</v>
      </c>
      <c r="C271" s="143" t="str">
        <f>IF(Rules!$C$272="","",Rules!$C$272)</f>
        <v>CARDMEMBER SERV</v>
      </c>
      <c r="D271" s="143" t="str">
        <f>IF(Rules!$C$272="","",Rules!$D$272)</f>
        <v>Credit Card Payment</v>
      </c>
      <c r="E271" s="73" t="str">
        <f>IF(Rules!$C$272="","",Rules!$E$272)</f>
        <v>Any</v>
      </c>
      <c r="F271" s="73" t="str">
        <f>IF(Rules!$C$272="","",Rules!$G$272)</f>
        <v>Yes</v>
      </c>
      <c r="G271" s="144">
        <v>272</v>
      </c>
      <c r="H271" s="145" t="str">
        <f>IF(Rules!$C$272="","",TRIM(IF(COUNTIFS(Rules_Key,Rules!$C$272,Rules_Dir,Rules!$E$272)&gt;1,"Duplicate keyword+direction. ","")&amp;IF(LEN(Rules!$C$272)&lt;5,"Keyword under 5 characters - matches too much. ","")&amp;IF(AND(Rules!$D$272&lt;&gt;"",COUNTIF(Cat_Name,Rules!$D$272)=0),"Category is not on the Categories sheet - rows will fall to Review Required. ","")&amp;IF(Rules!$F$272="Broad","Broad scope - deliberately forces Review Required. ","")&amp;IF(Rules!$G$272&lt;&gt;"Yes","Rule is switched OFF. ","")&amp;IF(AND(Rules!$C$272&lt;&gt;"",Rules!$D$272=""),"Keyword with no category. ","")))</f>
        <v/>
      </c>
    </row>
    <row r="272" spans="2:8" x14ac:dyDescent="0.25">
      <c r="B272" s="75">
        <f>IF(Rules!$C$273="","",Rules!$B$273)</f>
        <v>400</v>
      </c>
      <c r="C272" s="146" t="str">
        <f>IF(Rules!$C$273="","",Rules!$C$273)</f>
        <v>AUTOPAY</v>
      </c>
      <c r="D272" s="146" t="str">
        <f>IF(Rules!$C$273="","",Rules!$D$273)</f>
        <v>Credit Card Payment</v>
      </c>
      <c r="E272" s="75" t="str">
        <f>IF(Rules!$C$273="","",Rules!$E$273)</f>
        <v>Any</v>
      </c>
      <c r="F272" s="75" t="str">
        <f>IF(Rules!$C$273="","",Rules!$G$273)</f>
        <v>Yes</v>
      </c>
      <c r="G272" s="147">
        <v>273</v>
      </c>
      <c r="H272" s="148" t="str">
        <f>IF(Rules!$C$273="","",TRIM(IF(COUNTIFS(Rules_Key,Rules!$C$273,Rules_Dir,Rules!$E$273)&gt;1,"Duplicate keyword+direction. ","")&amp;IF(LEN(Rules!$C$273)&lt;5,"Keyword under 5 characters - matches too much. ","")&amp;IF(AND(Rules!$D$273&lt;&gt;"",COUNTIF(Cat_Name,Rules!$D$273)=0),"Category is not on the Categories sheet - rows will fall to Review Required. ","")&amp;IF(Rules!$F$273="Broad","Broad scope - deliberately forces Review Required. ","")&amp;IF(Rules!$G$273&lt;&gt;"Yes","Rule is switched OFF. ","")&amp;IF(AND(Rules!$C$273&lt;&gt;"",Rules!$D$273=""),"Keyword with no category. ","")))</f>
        <v/>
      </c>
    </row>
    <row r="273" spans="2:8" x14ac:dyDescent="0.25">
      <c r="B273" s="73">
        <f>IF(Rules!$C$274="","",Rules!$B$274)</f>
        <v>200</v>
      </c>
      <c r="C273" s="143" t="str">
        <f>IF(Rules!$C$274="","",Rules!$C$274)</f>
        <v>UNITED HEALTHCARE</v>
      </c>
      <c r="D273" s="143" t="str">
        <f>IF(Rules!$C$274="","",Rules!$D$274)</f>
        <v>Patient Fees - Insurance Reimbursement</v>
      </c>
      <c r="E273" s="73" t="str">
        <f>IF(Rules!$C$274="","",Rules!$E$274)</f>
        <v>In</v>
      </c>
      <c r="F273" s="73" t="str">
        <f>IF(Rules!$C$274="","",Rules!$G$274)</f>
        <v>Yes</v>
      </c>
      <c r="G273" s="144">
        <v>274</v>
      </c>
      <c r="H273" s="145" t="str">
        <f>IF(Rules!$C$274="","",TRIM(IF(COUNTIFS(Rules_Key,Rules!$C$274,Rules_Dir,Rules!$E$274)&gt;1,"Duplicate keyword+direction. ","")&amp;IF(LEN(Rules!$C$274)&lt;5,"Keyword under 5 characters - matches too much. ","")&amp;IF(AND(Rules!$D$274&lt;&gt;"",COUNTIF(Cat_Name,Rules!$D$274)=0),"Category is not on the Categories sheet - rows will fall to Review Required. ","")&amp;IF(Rules!$F$274="Broad","Broad scope - deliberately forces Review Required. ","")&amp;IF(Rules!$G$274&lt;&gt;"Yes","Rule is switched OFF. ","")&amp;IF(AND(Rules!$C$274&lt;&gt;"",Rules!$D$274=""),"Keyword with no category. ","")))</f>
        <v/>
      </c>
    </row>
    <row r="274" spans="2:8" x14ac:dyDescent="0.25">
      <c r="B274" s="75">
        <f>IF(Rules!$C$275="","",Rules!$B$275)</f>
        <v>200</v>
      </c>
      <c r="C274" s="146" t="str">
        <f>IF(Rules!$C$275="","",Rules!$C$275)</f>
        <v xml:space="preserve">UHC </v>
      </c>
      <c r="D274" s="146" t="str">
        <f>IF(Rules!$C$275="","",Rules!$D$275)</f>
        <v>Patient Fees - Insurance Reimbursement</v>
      </c>
      <c r="E274" s="75" t="str">
        <f>IF(Rules!$C$275="","",Rules!$E$275)</f>
        <v>In</v>
      </c>
      <c r="F274" s="75" t="str">
        <f>IF(Rules!$C$275="","",Rules!$G$275)</f>
        <v>Yes</v>
      </c>
      <c r="G274" s="147">
        <v>275</v>
      </c>
      <c r="H274" s="148" t="str">
        <f>IF(Rules!$C$275="","",TRIM(IF(COUNTIFS(Rules_Key,Rules!$C$275,Rules_Dir,Rules!$E$275)&gt;1,"Duplicate keyword+direction. ","")&amp;IF(LEN(Rules!$C$275)&lt;5,"Keyword under 5 characters - matches too much. ","")&amp;IF(AND(Rules!$D$275&lt;&gt;"",COUNTIF(Cat_Name,Rules!$D$275)=0),"Category is not on the Categories sheet - rows will fall to Review Required. ","")&amp;IF(Rules!$F$275="Broad","Broad scope - deliberately forces Review Required. ","")&amp;IF(Rules!$G$275&lt;&gt;"Yes","Rule is switched OFF. ","")&amp;IF(AND(Rules!$C$275&lt;&gt;"",Rules!$D$275=""),"Keyword with no category. ","")))</f>
        <v>Keyword under 5 characters - matches too much.</v>
      </c>
    </row>
    <row r="275" spans="2:8" x14ac:dyDescent="0.25">
      <c r="B275" s="73">
        <f>IF(Rules!$C$276="","",Rules!$B$276)</f>
        <v>200</v>
      </c>
      <c r="C275" s="143" t="str">
        <f>IF(Rules!$C$276="","",Rules!$C$276)</f>
        <v>OPTUM</v>
      </c>
      <c r="D275" s="143" t="str">
        <f>IF(Rules!$C$276="","",Rules!$D$276)</f>
        <v>Patient Fees - Insurance Reimbursement</v>
      </c>
      <c r="E275" s="73" t="str">
        <f>IF(Rules!$C$276="","",Rules!$E$276)</f>
        <v>In</v>
      </c>
      <c r="F275" s="73" t="str">
        <f>IF(Rules!$C$276="","",Rules!$G$276)</f>
        <v>Yes</v>
      </c>
      <c r="G275" s="144">
        <v>276</v>
      </c>
      <c r="H275" s="145" t="str">
        <f>IF(Rules!$C$276="","",TRIM(IF(COUNTIFS(Rules_Key,Rules!$C$276,Rules_Dir,Rules!$E$276)&gt;1,"Duplicate keyword+direction. ","")&amp;IF(LEN(Rules!$C$276)&lt;5,"Keyword under 5 characters - matches too much. ","")&amp;IF(AND(Rules!$D$276&lt;&gt;"",COUNTIF(Cat_Name,Rules!$D$276)=0),"Category is not on the Categories sheet - rows will fall to Review Required. ","")&amp;IF(Rules!$F$276="Broad","Broad scope - deliberately forces Review Required. ","")&amp;IF(Rules!$G$276&lt;&gt;"Yes","Rule is switched OFF. ","")&amp;IF(AND(Rules!$C$276&lt;&gt;"",Rules!$D$276=""),"Keyword with no category. ","")))</f>
        <v/>
      </c>
    </row>
    <row r="276" spans="2:8" x14ac:dyDescent="0.25">
      <c r="B276" s="75">
        <f>IF(Rules!$C$277="","",Rules!$B$277)</f>
        <v>200</v>
      </c>
      <c r="C276" s="146" t="str">
        <f>IF(Rules!$C$277="","",Rules!$C$277)</f>
        <v>ADP WAGE</v>
      </c>
      <c r="D276" s="146" t="str">
        <f>IF(Rules!$C$277="","",Rules!$D$277)</f>
        <v>Payroll Cash Movement</v>
      </c>
      <c r="E276" s="75" t="str">
        <f>IF(Rules!$C$277="","",Rules!$E$277)</f>
        <v>Out</v>
      </c>
      <c r="F276" s="75" t="str">
        <f>IF(Rules!$C$277="","",Rules!$G$277)</f>
        <v>Yes</v>
      </c>
      <c r="G276" s="147">
        <v>277</v>
      </c>
      <c r="H276" s="148" t="str">
        <f>IF(Rules!$C$277="","",TRIM(IF(COUNTIFS(Rules_Key,Rules!$C$277,Rules_Dir,Rules!$E$277)&gt;1,"Duplicate keyword+direction. ","")&amp;IF(LEN(Rules!$C$277)&lt;5,"Keyword under 5 characters - matches too much. ","")&amp;IF(AND(Rules!$D$277&lt;&gt;"",COUNTIF(Cat_Name,Rules!$D$277)=0),"Category is not on the Categories sheet - rows will fall to Review Required. ","")&amp;IF(Rules!$F$277="Broad","Broad scope - deliberately forces Review Required. ","")&amp;IF(Rules!$G$277&lt;&gt;"Yes","Rule is switched OFF. ","")&amp;IF(AND(Rules!$C$277&lt;&gt;"",Rules!$D$277=""),"Keyword with no category. ","")))</f>
        <v>Duplicate keyword+direction.</v>
      </c>
    </row>
    <row r="277" spans="2:8" x14ac:dyDescent="0.25">
      <c r="B277" s="73">
        <f>IF(Rules!$C$278="","",Rules!$B$278)</f>
        <v>200</v>
      </c>
      <c r="C277" s="143" t="str">
        <f>IF(Rules!$C$278="","",Rules!$C$278)</f>
        <v>COPAY</v>
      </c>
      <c r="D277" s="143" t="str">
        <f>IF(Rules!$C$278="","",Rules!$D$278)</f>
        <v>Copays &amp; Deductibles Collected</v>
      </c>
      <c r="E277" s="73" t="str">
        <f>IF(Rules!$C$278="","",Rules!$E$278)</f>
        <v>In</v>
      </c>
      <c r="F277" s="73" t="str">
        <f>IF(Rules!$C$278="","",Rules!$G$278)</f>
        <v>Yes</v>
      </c>
      <c r="G277" s="144">
        <v>278</v>
      </c>
      <c r="H277" s="145" t="str">
        <f>IF(Rules!$C$278="","",TRIM(IF(COUNTIFS(Rules_Key,Rules!$C$278,Rules_Dir,Rules!$E$278)&gt;1,"Duplicate keyword+direction. ","")&amp;IF(LEN(Rules!$C$278)&lt;5,"Keyword under 5 characters - matches too much. ","")&amp;IF(AND(Rules!$D$278&lt;&gt;"",COUNTIF(Cat_Name,Rules!$D$278)=0),"Category is not on the Categories sheet - rows will fall to Review Required. ","")&amp;IF(Rules!$F$278="Broad","Broad scope - deliberately forces Review Required. ","")&amp;IF(Rules!$G$278&lt;&gt;"Yes","Rule is switched OFF. ","")&amp;IF(AND(Rules!$C$278&lt;&gt;"",Rules!$D$278=""),"Keyword with no category. ","")))</f>
        <v/>
      </c>
    </row>
    <row r="278" spans="2:8" x14ac:dyDescent="0.25">
      <c r="B278" s="75">
        <f>IF(Rules!$C$279="","",Rules!$B$279)</f>
        <v>900</v>
      </c>
      <c r="C278" s="146" t="str">
        <f>IF(Rules!$C$279="","",Rules!$C$279)</f>
        <v>AMAZON</v>
      </c>
      <c r="D278" s="146" t="str">
        <f>IF(Rules!$C$279="","",Rules!$D$279)</f>
        <v>Review Required - Mixed-Use Vendor</v>
      </c>
      <c r="E278" s="75" t="str">
        <f>IF(Rules!$C$279="","",Rules!$E$279)</f>
        <v>Any</v>
      </c>
      <c r="F278" s="75" t="str">
        <f>IF(Rules!$C$279="","",Rules!$G$279)</f>
        <v>Yes</v>
      </c>
      <c r="G278" s="147">
        <v>279</v>
      </c>
      <c r="H278" s="148" t="str">
        <f>IF(Rules!$C$279="","",TRIM(IF(COUNTIFS(Rules_Key,Rules!$C$279,Rules_Dir,Rules!$E$279)&gt;1,"Duplicate keyword+direction. ","")&amp;IF(LEN(Rules!$C$279)&lt;5,"Keyword under 5 characters - matches too much. ","")&amp;IF(AND(Rules!$D$279&lt;&gt;"",COUNTIF(Cat_Name,Rules!$D$279)=0),"Category is not on the Categories sheet - rows will fall to Review Required. ","")&amp;IF(Rules!$F$279="Broad","Broad scope - deliberately forces Review Required. ","")&amp;IF(Rules!$G$279&lt;&gt;"Yes","Rule is switched OFF. ","")&amp;IF(AND(Rules!$C$279&lt;&gt;"",Rules!$D$279=""),"Keyword with no category. ","")))</f>
        <v>Broad scope - deliberately forces Review Required.</v>
      </c>
    </row>
    <row r="279" spans="2:8" ht="22.5" x14ac:dyDescent="0.25">
      <c r="B279" s="73">
        <f>IF(Rules!$C$280="","",Rules!$B$280)</f>
        <v>900</v>
      </c>
      <c r="C279" s="143" t="str">
        <f>IF(Rules!$C$280="","",Rules!$C$280)</f>
        <v>AMZN</v>
      </c>
      <c r="D279" s="143" t="str">
        <f>IF(Rules!$C$280="","",Rules!$D$280)</f>
        <v>Review Required - Mixed-Use Vendor</v>
      </c>
      <c r="E279" s="73" t="str">
        <f>IF(Rules!$C$280="","",Rules!$E$280)</f>
        <v>Any</v>
      </c>
      <c r="F279" s="73" t="str">
        <f>IF(Rules!$C$280="","",Rules!$G$280)</f>
        <v>Yes</v>
      </c>
      <c r="G279" s="144">
        <v>280</v>
      </c>
      <c r="H279" s="145" t="str">
        <f>IF(Rules!$C$280="","",TRIM(IF(COUNTIFS(Rules_Key,Rules!$C$280,Rules_Dir,Rules!$E$280)&gt;1,"Duplicate keyword+direction. ","")&amp;IF(LEN(Rules!$C$280)&lt;5,"Keyword under 5 characters - matches too much. ","")&amp;IF(AND(Rules!$D$280&lt;&gt;"",COUNTIF(Cat_Name,Rules!$D$280)=0),"Category is not on the Categories sheet - rows will fall to Review Required. ","")&amp;IF(Rules!$F$280="Broad","Broad scope - deliberately forces Review Required. ","")&amp;IF(Rules!$G$280&lt;&gt;"Yes","Rule is switched OFF. ","")&amp;IF(AND(Rules!$C$280&lt;&gt;"",Rules!$D$280=""),"Keyword with no category. ","")))</f>
        <v>Keyword under 5 characters - matches too much. Broad scope - deliberately forces Review Required.</v>
      </c>
    </row>
    <row r="280" spans="2:8" x14ac:dyDescent="0.25">
      <c r="B280" s="75">
        <f>IF(Rules!$C$281="","",Rules!$B$281)</f>
        <v>900</v>
      </c>
      <c r="C280" s="146" t="str">
        <f>IF(Rules!$C$281="","",Rules!$C$281)</f>
        <v>WALMART</v>
      </c>
      <c r="D280" s="146" t="str">
        <f>IF(Rules!$C$281="","",Rules!$D$281)</f>
        <v>Review Required - Mixed-Use Vendor</v>
      </c>
      <c r="E280" s="75" t="str">
        <f>IF(Rules!$C$281="","",Rules!$E$281)</f>
        <v>Any</v>
      </c>
      <c r="F280" s="75" t="str">
        <f>IF(Rules!$C$281="","",Rules!$G$281)</f>
        <v>Yes</v>
      </c>
      <c r="G280" s="147">
        <v>281</v>
      </c>
      <c r="H280" s="148" t="str">
        <f>IF(Rules!$C$281="","",TRIM(IF(COUNTIFS(Rules_Key,Rules!$C$281,Rules_Dir,Rules!$E$281)&gt;1,"Duplicate keyword+direction. ","")&amp;IF(LEN(Rules!$C$281)&lt;5,"Keyword under 5 characters - matches too much. ","")&amp;IF(AND(Rules!$D$281&lt;&gt;"",COUNTIF(Cat_Name,Rules!$D$281)=0),"Category is not on the Categories sheet - rows will fall to Review Required. ","")&amp;IF(Rules!$F$281="Broad","Broad scope - deliberately forces Review Required. ","")&amp;IF(Rules!$G$281&lt;&gt;"Yes","Rule is switched OFF. ","")&amp;IF(AND(Rules!$C$281&lt;&gt;"",Rules!$D$281=""),"Keyword with no category. ","")))</f>
        <v>Broad scope - deliberately forces Review Required.</v>
      </c>
    </row>
    <row r="281" spans="2:8" x14ac:dyDescent="0.25">
      <c r="B281" s="73">
        <f>IF(Rules!$C$282="","",Rules!$B$282)</f>
        <v>900</v>
      </c>
      <c r="C281" s="143" t="str">
        <f>IF(Rules!$C$282="","",Rules!$C$282)</f>
        <v>WAL-MART</v>
      </c>
      <c r="D281" s="143" t="str">
        <f>IF(Rules!$C$282="","",Rules!$D$282)</f>
        <v>Review Required - Mixed-Use Vendor</v>
      </c>
      <c r="E281" s="73" t="str">
        <f>IF(Rules!$C$282="","",Rules!$E$282)</f>
        <v>Any</v>
      </c>
      <c r="F281" s="73" t="str">
        <f>IF(Rules!$C$282="","",Rules!$G$282)</f>
        <v>Yes</v>
      </c>
      <c r="G281" s="144">
        <v>282</v>
      </c>
      <c r="H281" s="145" t="str">
        <f>IF(Rules!$C$282="","",TRIM(IF(COUNTIFS(Rules_Key,Rules!$C$282,Rules_Dir,Rules!$E$282)&gt;1,"Duplicate keyword+direction. ","")&amp;IF(LEN(Rules!$C$282)&lt;5,"Keyword under 5 characters - matches too much. ","")&amp;IF(AND(Rules!$D$282&lt;&gt;"",COUNTIF(Cat_Name,Rules!$D$282)=0),"Category is not on the Categories sheet - rows will fall to Review Required. ","")&amp;IF(Rules!$F$282="Broad","Broad scope - deliberately forces Review Required. ","")&amp;IF(Rules!$G$282&lt;&gt;"Yes","Rule is switched OFF. ","")&amp;IF(AND(Rules!$C$282&lt;&gt;"",Rules!$D$282=""),"Keyword with no category. ","")))</f>
        <v>Broad scope - deliberately forces Review Required.</v>
      </c>
    </row>
    <row r="282" spans="2:8" x14ac:dyDescent="0.25">
      <c r="B282" s="75">
        <f>IF(Rules!$C$283="","",Rules!$B$283)</f>
        <v>900</v>
      </c>
      <c r="C282" s="146" t="str">
        <f>IF(Rules!$C$283="","",Rules!$C$283)</f>
        <v>WM SUPERCENTER</v>
      </c>
      <c r="D282" s="146" t="str">
        <f>IF(Rules!$C$283="","",Rules!$D$283)</f>
        <v>Review Required - Mixed-Use Vendor</v>
      </c>
      <c r="E282" s="75" t="str">
        <f>IF(Rules!$C$283="","",Rules!$E$283)</f>
        <v>Any</v>
      </c>
      <c r="F282" s="75" t="str">
        <f>IF(Rules!$C$283="","",Rules!$G$283)</f>
        <v>Yes</v>
      </c>
      <c r="G282" s="147">
        <v>283</v>
      </c>
      <c r="H282" s="148" t="str">
        <f>IF(Rules!$C$283="","",TRIM(IF(COUNTIFS(Rules_Key,Rules!$C$283,Rules_Dir,Rules!$E$283)&gt;1,"Duplicate keyword+direction. ","")&amp;IF(LEN(Rules!$C$283)&lt;5,"Keyword under 5 characters - matches too much. ","")&amp;IF(AND(Rules!$D$283&lt;&gt;"",COUNTIF(Cat_Name,Rules!$D$283)=0),"Category is not on the Categories sheet - rows will fall to Review Required. ","")&amp;IF(Rules!$F$283="Broad","Broad scope - deliberately forces Review Required. ","")&amp;IF(Rules!$G$283&lt;&gt;"Yes","Rule is switched OFF. ","")&amp;IF(AND(Rules!$C$283&lt;&gt;"",Rules!$D$283=""),"Keyword with no category. ","")))</f>
        <v>Broad scope - deliberately forces Review Required.</v>
      </c>
    </row>
    <row r="283" spans="2:8" x14ac:dyDescent="0.25">
      <c r="B283" s="73">
        <f>IF(Rules!$C$284="","",Rules!$B$284)</f>
        <v>900</v>
      </c>
      <c r="C283" s="143" t="str">
        <f>IF(Rules!$C$284="","",Rules!$C$284)</f>
        <v>COSTCO</v>
      </c>
      <c r="D283" s="143" t="str">
        <f>IF(Rules!$C$284="","",Rules!$D$284)</f>
        <v>Review Required - Mixed-Use Vendor</v>
      </c>
      <c r="E283" s="73" t="str">
        <f>IF(Rules!$C$284="","",Rules!$E$284)</f>
        <v>Any</v>
      </c>
      <c r="F283" s="73" t="str">
        <f>IF(Rules!$C$284="","",Rules!$G$284)</f>
        <v>Yes</v>
      </c>
      <c r="G283" s="144">
        <v>284</v>
      </c>
      <c r="H283" s="145" t="str">
        <f>IF(Rules!$C$284="","",TRIM(IF(COUNTIFS(Rules_Key,Rules!$C$284,Rules_Dir,Rules!$E$284)&gt;1,"Duplicate keyword+direction. ","")&amp;IF(LEN(Rules!$C$284)&lt;5,"Keyword under 5 characters - matches too much. ","")&amp;IF(AND(Rules!$D$284&lt;&gt;"",COUNTIF(Cat_Name,Rules!$D$284)=0),"Category is not on the Categories sheet - rows will fall to Review Required. ","")&amp;IF(Rules!$F$284="Broad","Broad scope - deliberately forces Review Required. ","")&amp;IF(Rules!$G$284&lt;&gt;"Yes","Rule is switched OFF. ","")&amp;IF(AND(Rules!$C$284&lt;&gt;"",Rules!$D$284=""),"Keyword with no category. ","")))</f>
        <v>Broad scope - deliberately forces Review Required.</v>
      </c>
    </row>
    <row r="284" spans="2:8" x14ac:dyDescent="0.25">
      <c r="B284" s="75">
        <f>IF(Rules!$C$285="","",Rules!$B$285)</f>
        <v>900</v>
      </c>
      <c r="C284" s="146" t="str">
        <f>IF(Rules!$C$285="","",Rules!$C$285)</f>
        <v>SAMS CLUB</v>
      </c>
      <c r="D284" s="146" t="str">
        <f>IF(Rules!$C$285="","",Rules!$D$285)</f>
        <v>Review Required - Mixed-Use Vendor</v>
      </c>
      <c r="E284" s="75" t="str">
        <f>IF(Rules!$C$285="","",Rules!$E$285)</f>
        <v>Any</v>
      </c>
      <c r="F284" s="75" t="str">
        <f>IF(Rules!$C$285="","",Rules!$G$285)</f>
        <v>Yes</v>
      </c>
      <c r="G284" s="147">
        <v>285</v>
      </c>
      <c r="H284" s="148" t="str">
        <f>IF(Rules!$C$285="","",TRIM(IF(COUNTIFS(Rules_Key,Rules!$C$285,Rules_Dir,Rules!$E$285)&gt;1,"Duplicate keyword+direction. ","")&amp;IF(LEN(Rules!$C$285)&lt;5,"Keyword under 5 characters - matches too much. ","")&amp;IF(AND(Rules!$D$285&lt;&gt;"",COUNTIF(Cat_Name,Rules!$D$285)=0),"Category is not on the Categories sheet - rows will fall to Review Required. ","")&amp;IF(Rules!$F$285="Broad","Broad scope - deliberately forces Review Required. ","")&amp;IF(Rules!$G$285&lt;&gt;"Yes","Rule is switched OFF. ","")&amp;IF(AND(Rules!$C$285&lt;&gt;"",Rules!$D$285=""),"Keyword with no category. ","")))</f>
        <v>Broad scope - deliberately forces Review Required.</v>
      </c>
    </row>
    <row r="285" spans="2:8" x14ac:dyDescent="0.25">
      <c r="B285" s="73">
        <f>IF(Rules!$C$286="","",Rules!$B$286)</f>
        <v>900</v>
      </c>
      <c r="C285" s="143" t="str">
        <f>IF(Rules!$C$286="","",Rules!$C$286)</f>
        <v>SAM'S CLUB</v>
      </c>
      <c r="D285" s="143" t="str">
        <f>IF(Rules!$C$286="","",Rules!$D$286)</f>
        <v>Review Required - Mixed-Use Vendor</v>
      </c>
      <c r="E285" s="73" t="str">
        <f>IF(Rules!$C$286="","",Rules!$E$286)</f>
        <v>Any</v>
      </c>
      <c r="F285" s="73" t="str">
        <f>IF(Rules!$C$286="","",Rules!$G$286)</f>
        <v>Yes</v>
      </c>
      <c r="G285" s="144">
        <v>286</v>
      </c>
      <c r="H285" s="145" t="str">
        <f>IF(Rules!$C$286="","",TRIM(IF(COUNTIFS(Rules_Key,Rules!$C$286,Rules_Dir,Rules!$E$286)&gt;1,"Duplicate keyword+direction. ","")&amp;IF(LEN(Rules!$C$286)&lt;5,"Keyword under 5 characters - matches too much. ","")&amp;IF(AND(Rules!$D$286&lt;&gt;"",COUNTIF(Cat_Name,Rules!$D$286)=0),"Category is not on the Categories sheet - rows will fall to Review Required. ","")&amp;IF(Rules!$F$286="Broad","Broad scope - deliberately forces Review Required. ","")&amp;IF(Rules!$G$286&lt;&gt;"Yes","Rule is switched OFF. ","")&amp;IF(AND(Rules!$C$286&lt;&gt;"",Rules!$D$286=""),"Keyword with no category. ","")))</f>
        <v>Broad scope - deliberately forces Review Required.</v>
      </c>
    </row>
    <row r="286" spans="2:8" x14ac:dyDescent="0.25">
      <c r="B286" s="75">
        <f>IF(Rules!$C$287="","",Rules!$B$287)</f>
        <v>900</v>
      </c>
      <c r="C286" s="146" t="str">
        <f>IF(Rules!$C$287="","",Rules!$C$287)</f>
        <v>SAMSCLUB</v>
      </c>
      <c r="D286" s="146" t="str">
        <f>IF(Rules!$C$287="","",Rules!$D$287)</f>
        <v>Review Required - Mixed-Use Vendor</v>
      </c>
      <c r="E286" s="75" t="str">
        <f>IF(Rules!$C$287="","",Rules!$E$287)</f>
        <v>Any</v>
      </c>
      <c r="F286" s="75" t="str">
        <f>IF(Rules!$C$287="","",Rules!$G$287)</f>
        <v>Yes</v>
      </c>
      <c r="G286" s="147">
        <v>287</v>
      </c>
      <c r="H286" s="148" t="str">
        <f>IF(Rules!$C$287="","",TRIM(IF(COUNTIFS(Rules_Key,Rules!$C$287,Rules_Dir,Rules!$E$287)&gt;1,"Duplicate keyword+direction. ","")&amp;IF(LEN(Rules!$C$287)&lt;5,"Keyword under 5 characters - matches too much. ","")&amp;IF(AND(Rules!$D$287&lt;&gt;"",COUNTIF(Cat_Name,Rules!$D$287)=0),"Category is not on the Categories sheet - rows will fall to Review Required. ","")&amp;IF(Rules!$F$287="Broad","Broad scope - deliberately forces Review Required. ","")&amp;IF(Rules!$G$287&lt;&gt;"Yes","Rule is switched OFF. ","")&amp;IF(AND(Rules!$C$287&lt;&gt;"",Rules!$D$287=""),"Keyword with no category. ","")))</f>
        <v>Broad scope - deliberately forces Review Required.</v>
      </c>
    </row>
    <row r="287" spans="2:8" x14ac:dyDescent="0.25">
      <c r="B287" s="73">
        <f>IF(Rules!$C$288="","",Rules!$B$288)</f>
        <v>900</v>
      </c>
      <c r="C287" s="143" t="str">
        <f>IF(Rules!$C$288="","",Rules!$C$288)</f>
        <v>TARGET</v>
      </c>
      <c r="D287" s="143" t="str">
        <f>IF(Rules!$C$288="","",Rules!$D$288)</f>
        <v>Review Required - Mixed-Use Vendor</v>
      </c>
      <c r="E287" s="73" t="str">
        <f>IF(Rules!$C$288="","",Rules!$E$288)</f>
        <v>Any</v>
      </c>
      <c r="F287" s="73" t="str">
        <f>IF(Rules!$C$288="","",Rules!$G$288)</f>
        <v>Yes</v>
      </c>
      <c r="G287" s="144">
        <v>288</v>
      </c>
      <c r="H287" s="145" t="str">
        <f>IF(Rules!$C$288="","",TRIM(IF(COUNTIFS(Rules_Key,Rules!$C$288,Rules_Dir,Rules!$E$288)&gt;1,"Duplicate keyword+direction. ","")&amp;IF(LEN(Rules!$C$288)&lt;5,"Keyword under 5 characters - matches too much. ","")&amp;IF(AND(Rules!$D$288&lt;&gt;"",COUNTIF(Cat_Name,Rules!$D$288)=0),"Category is not on the Categories sheet - rows will fall to Review Required. ","")&amp;IF(Rules!$F$288="Broad","Broad scope - deliberately forces Review Required. ","")&amp;IF(Rules!$G$288&lt;&gt;"Yes","Rule is switched OFF. ","")&amp;IF(AND(Rules!$C$288&lt;&gt;"",Rules!$D$288=""),"Keyword with no category. ","")))</f>
        <v>Broad scope - deliberately forces Review Required.</v>
      </c>
    </row>
    <row r="288" spans="2:8" ht="22.5" x14ac:dyDescent="0.25">
      <c r="B288" s="75">
        <f>IF(Rules!$C$289="","",Rules!$B$289)</f>
        <v>900</v>
      </c>
      <c r="C288" s="146" t="str">
        <f>IF(Rules!$C$289="","",Rules!$C$289)</f>
        <v>EBAY</v>
      </c>
      <c r="D288" s="146" t="str">
        <f>IF(Rules!$C$289="","",Rules!$D$289)</f>
        <v>Review Required - Mixed-Use Vendor</v>
      </c>
      <c r="E288" s="75" t="str">
        <f>IF(Rules!$C$289="","",Rules!$E$289)</f>
        <v>Any</v>
      </c>
      <c r="F288" s="75" t="str">
        <f>IF(Rules!$C$289="","",Rules!$G$289)</f>
        <v>Yes</v>
      </c>
      <c r="G288" s="147">
        <v>289</v>
      </c>
      <c r="H288" s="148" t="str">
        <f>IF(Rules!$C$289="","",TRIM(IF(COUNTIFS(Rules_Key,Rules!$C$289,Rules_Dir,Rules!$E$289)&gt;1,"Duplicate keyword+direction. ","")&amp;IF(LEN(Rules!$C$289)&lt;5,"Keyword under 5 characters - matches too much. ","")&amp;IF(AND(Rules!$D$289&lt;&gt;"",COUNTIF(Cat_Name,Rules!$D$289)=0),"Category is not on the Categories sheet - rows will fall to Review Required. ","")&amp;IF(Rules!$F$289="Broad","Broad scope - deliberately forces Review Required. ","")&amp;IF(Rules!$G$289&lt;&gt;"Yes","Rule is switched OFF. ","")&amp;IF(AND(Rules!$C$289&lt;&gt;"",Rules!$D$289=""),"Keyword with no category. ","")))</f>
        <v>Keyword under 5 characters - matches too much. Broad scope - deliberately forces Review Required.</v>
      </c>
    </row>
    <row r="289" spans="2:8" x14ac:dyDescent="0.25">
      <c r="B289" s="73">
        <f>IF(Rules!$C$290="","",Rules!$B$290)</f>
        <v>900</v>
      </c>
      <c r="C289" s="143" t="str">
        <f>IF(Rules!$C$290="","",Rules!$C$290)</f>
        <v>PAYPAL</v>
      </c>
      <c r="D289" s="143" t="str">
        <f>IF(Rules!$C$290="","",Rules!$D$290)</f>
        <v>Review Required - Mixed-Use Vendor</v>
      </c>
      <c r="E289" s="73" t="str">
        <f>IF(Rules!$C$290="","",Rules!$E$290)</f>
        <v>Any</v>
      </c>
      <c r="F289" s="73" t="str">
        <f>IF(Rules!$C$290="","",Rules!$G$290)</f>
        <v>Yes</v>
      </c>
      <c r="G289" s="144">
        <v>290</v>
      </c>
      <c r="H289" s="145" t="str">
        <f>IF(Rules!$C$290="","",TRIM(IF(COUNTIFS(Rules_Key,Rules!$C$290,Rules_Dir,Rules!$E$290)&gt;1,"Duplicate keyword+direction. ","")&amp;IF(LEN(Rules!$C$290)&lt;5,"Keyword under 5 characters - matches too much. ","")&amp;IF(AND(Rules!$D$290&lt;&gt;"",COUNTIF(Cat_Name,Rules!$D$290)=0),"Category is not on the Categories sheet - rows will fall to Review Required. ","")&amp;IF(Rules!$F$290="Broad","Broad scope - deliberately forces Review Required. ","")&amp;IF(Rules!$G$290&lt;&gt;"Yes","Rule is switched OFF. ","")&amp;IF(AND(Rules!$C$290&lt;&gt;"",Rules!$D$290=""),"Keyword with no category. ","")))</f>
        <v>Broad scope - deliberately forces Review Required.</v>
      </c>
    </row>
    <row r="290" spans="2:8" x14ac:dyDescent="0.25">
      <c r="B290" s="75">
        <f>IF(Rules!$C$291="","",Rules!$B$291)</f>
        <v>900</v>
      </c>
      <c r="C290" s="146" t="str">
        <f>IF(Rules!$C$291="","",Rules!$C$291)</f>
        <v>VENMO</v>
      </c>
      <c r="D290" s="146" t="str">
        <f>IF(Rules!$C$291="","",Rules!$D$291)</f>
        <v>Review Required - Mixed-Use Vendor</v>
      </c>
      <c r="E290" s="75" t="str">
        <f>IF(Rules!$C$291="","",Rules!$E$291)</f>
        <v>Any</v>
      </c>
      <c r="F290" s="75" t="str">
        <f>IF(Rules!$C$291="","",Rules!$G$291)</f>
        <v>Yes</v>
      </c>
      <c r="G290" s="147">
        <v>291</v>
      </c>
      <c r="H290" s="148" t="str">
        <f>IF(Rules!$C$291="","",TRIM(IF(COUNTIFS(Rules_Key,Rules!$C$291,Rules_Dir,Rules!$E$291)&gt;1,"Duplicate keyword+direction. ","")&amp;IF(LEN(Rules!$C$291)&lt;5,"Keyword under 5 characters - matches too much. ","")&amp;IF(AND(Rules!$D$291&lt;&gt;"",COUNTIF(Cat_Name,Rules!$D$291)=0),"Category is not on the Categories sheet - rows will fall to Review Required. ","")&amp;IF(Rules!$F$291="Broad","Broad scope - deliberately forces Review Required. ","")&amp;IF(Rules!$G$291&lt;&gt;"Yes","Rule is switched OFF. ","")&amp;IF(AND(Rules!$C$291&lt;&gt;"",Rules!$D$291=""),"Keyword with no category. ","")))</f>
        <v>Broad scope - deliberately forces Review Required.</v>
      </c>
    </row>
    <row r="291" spans="2:8" x14ac:dyDescent="0.25">
      <c r="B291" s="73">
        <f>IF(Rules!$C$292="","",Rules!$B$292)</f>
        <v>900</v>
      </c>
      <c r="C291" s="143" t="str">
        <f>IF(Rules!$C$292="","",Rules!$C$292)</f>
        <v>ZELLE</v>
      </c>
      <c r="D291" s="143" t="str">
        <f>IF(Rules!$C$292="","",Rules!$D$292)</f>
        <v>Review Required - Mixed-Use Vendor</v>
      </c>
      <c r="E291" s="73" t="str">
        <f>IF(Rules!$C$292="","",Rules!$E$292)</f>
        <v>Any</v>
      </c>
      <c r="F291" s="73" t="str">
        <f>IF(Rules!$C$292="","",Rules!$G$292)</f>
        <v>Yes</v>
      </c>
      <c r="G291" s="144">
        <v>292</v>
      </c>
      <c r="H291" s="145" t="str">
        <f>IF(Rules!$C$292="","",TRIM(IF(COUNTIFS(Rules_Key,Rules!$C$292,Rules_Dir,Rules!$E$292)&gt;1,"Duplicate keyword+direction. ","")&amp;IF(LEN(Rules!$C$292)&lt;5,"Keyword under 5 characters - matches too much. ","")&amp;IF(AND(Rules!$D$292&lt;&gt;"",COUNTIF(Cat_Name,Rules!$D$292)=0),"Category is not on the Categories sheet - rows will fall to Review Required. ","")&amp;IF(Rules!$F$292="Broad","Broad scope - deliberately forces Review Required. ","")&amp;IF(Rules!$G$292&lt;&gt;"Yes","Rule is switched OFF. ","")&amp;IF(AND(Rules!$C$292&lt;&gt;"",Rules!$D$292=""),"Keyword with no category. ","")))</f>
        <v>Broad scope - deliberately forces Review Required.</v>
      </c>
    </row>
    <row r="292" spans="2:8" x14ac:dyDescent="0.25">
      <c r="B292" s="75">
        <f>IF(Rules!$C$293="","",Rules!$B$293)</f>
        <v>900</v>
      </c>
      <c r="C292" s="146" t="str">
        <f>IF(Rules!$C$293="","",Rules!$C$293)</f>
        <v>CASH APP</v>
      </c>
      <c r="D292" s="146" t="str">
        <f>IF(Rules!$C$293="","",Rules!$D$293)</f>
        <v>Review Required - Mixed-Use Vendor</v>
      </c>
      <c r="E292" s="75" t="str">
        <f>IF(Rules!$C$293="","",Rules!$E$293)</f>
        <v>Any</v>
      </c>
      <c r="F292" s="75" t="str">
        <f>IF(Rules!$C$293="","",Rules!$G$293)</f>
        <v>Yes</v>
      </c>
      <c r="G292" s="147">
        <v>293</v>
      </c>
      <c r="H292" s="148" t="str">
        <f>IF(Rules!$C$293="","",TRIM(IF(COUNTIFS(Rules_Key,Rules!$C$293,Rules_Dir,Rules!$E$293)&gt;1,"Duplicate keyword+direction. ","")&amp;IF(LEN(Rules!$C$293)&lt;5,"Keyword under 5 characters - matches too much. ","")&amp;IF(AND(Rules!$D$293&lt;&gt;"",COUNTIF(Cat_Name,Rules!$D$293)=0),"Category is not on the Categories sheet - rows will fall to Review Required. ","")&amp;IF(Rules!$F$293="Broad","Broad scope - deliberately forces Review Required. ","")&amp;IF(Rules!$G$293&lt;&gt;"Yes","Rule is switched OFF. ","")&amp;IF(AND(Rules!$C$293&lt;&gt;"",Rules!$D$293=""),"Keyword with no category. ","")))</f>
        <v>Broad scope - deliberately forces Review Required.</v>
      </c>
    </row>
    <row r="293" spans="2:8" x14ac:dyDescent="0.25">
      <c r="B293" s="73">
        <f>IF(Rules!$C$294="","",Rules!$B$294)</f>
        <v>900</v>
      </c>
      <c r="C293" s="143" t="str">
        <f>IF(Rules!$C$294="","",Rules!$C$294)</f>
        <v>APPLE.COM</v>
      </c>
      <c r="D293" s="143" t="str">
        <f>IF(Rules!$C$294="","",Rules!$D$294)</f>
        <v>Review Required - Mixed-Use Vendor</v>
      </c>
      <c r="E293" s="73" t="str">
        <f>IF(Rules!$C$294="","",Rules!$E$294)</f>
        <v>Any</v>
      </c>
      <c r="F293" s="73" t="str">
        <f>IF(Rules!$C$294="","",Rules!$G$294)</f>
        <v>Yes</v>
      </c>
      <c r="G293" s="144">
        <v>294</v>
      </c>
      <c r="H293" s="145" t="str">
        <f>IF(Rules!$C$294="","",TRIM(IF(COUNTIFS(Rules_Key,Rules!$C$294,Rules_Dir,Rules!$E$294)&gt;1,"Duplicate keyword+direction. ","")&amp;IF(LEN(Rules!$C$294)&lt;5,"Keyword under 5 characters - matches too much. ","")&amp;IF(AND(Rules!$D$294&lt;&gt;"",COUNTIF(Cat_Name,Rules!$D$294)=0),"Category is not on the Categories sheet - rows will fall to Review Required. ","")&amp;IF(Rules!$F$294="Broad","Broad scope - deliberately forces Review Required. ","")&amp;IF(Rules!$G$294&lt;&gt;"Yes","Rule is switched OFF. ","")&amp;IF(AND(Rules!$C$294&lt;&gt;"",Rules!$D$294=""),"Keyword with no category. ","")))</f>
        <v>Broad scope - deliberately forces Review Required.</v>
      </c>
    </row>
    <row r="294" spans="2:8" x14ac:dyDescent="0.25">
      <c r="B294" s="75">
        <f>IF(Rules!$C$295="","",Rules!$B$295)</f>
        <v>900</v>
      </c>
      <c r="C294" s="146" t="str">
        <f>IF(Rules!$C$295="","",Rules!$C$295)</f>
        <v>BEST BUY</v>
      </c>
      <c r="D294" s="146" t="str">
        <f>IF(Rules!$C$295="","",Rules!$D$295)</f>
        <v>Review Required - Mixed-Use Vendor</v>
      </c>
      <c r="E294" s="75" t="str">
        <f>IF(Rules!$C$295="","",Rules!$E$295)</f>
        <v>Any</v>
      </c>
      <c r="F294" s="75" t="str">
        <f>IF(Rules!$C$295="","",Rules!$G$295)</f>
        <v>Yes</v>
      </c>
      <c r="G294" s="147">
        <v>295</v>
      </c>
      <c r="H294" s="148" t="str">
        <f>IF(Rules!$C$295="","",TRIM(IF(COUNTIFS(Rules_Key,Rules!$C$295,Rules_Dir,Rules!$E$295)&gt;1,"Duplicate keyword+direction. ","")&amp;IF(LEN(Rules!$C$295)&lt;5,"Keyword under 5 characters - matches too much. ","")&amp;IF(AND(Rules!$D$295&lt;&gt;"",COUNTIF(Cat_Name,Rules!$D$295)=0),"Category is not on the Categories sheet - rows will fall to Review Required. ","")&amp;IF(Rules!$F$295="Broad","Broad scope - deliberately forces Review Required. ","")&amp;IF(Rules!$G$295&lt;&gt;"Yes","Rule is switched OFF. ","")&amp;IF(AND(Rules!$C$295&lt;&gt;"",Rules!$D$295=""),"Keyword with no category. ","")))</f>
        <v>Broad scope - deliberately forces Review Required.</v>
      </c>
    </row>
    <row r="295" spans="2:8" x14ac:dyDescent="0.25">
      <c r="B295" s="73">
        <f>IF(Rules!$C$296="","",Rules!$B$296)</f>
        <v>900</v>
      </c>
      <c r="C295" s="143" t="str">
        <f>IF(Rules!$C$296="","",Rules!$C$296)</f>
        <v>BESTBUY</v>
      </c>
      <c r="D295" s="143" t="str">
        <f>IF(Rules!$C$296="","",Rules!$D$296)</f>
        <v>Review Required - Mixed-Use Vendor</v>
      </c>
      <c r="E295" s="73" t="str">
        <f>IF(Rules!$C$296="","",Rules!$E$296)</f>
        <v>Any</v>
      </c>
      <c r="F295" s="73" t="str">
        <f>IF(Rules!$C$296="","",Rules!$G$296)</f>
        <v>Yes</v>
      </c>
      <c r="G295" s="144">
        <v>296</v>
      </c>
      <c r="H295" s="145" t="str">
        <f>IF(Rules!$C$296="","",TRIM(IF(COUNTIFS(Rules_Key,Rules!$C$296,Rules_Dir,Rules!$E$296)&gt;1,"Duplicate keyword+direction. ","")&amp;IF(LEN(Rules!$C$296)&lt;5,"Keyword under 5 characters - matches too much. ","")&amp;IF(AND(Rules!$D$296&lt;&gt;"",COUNTIF(Cat_Name,Rules!$D$296)=0),"Category is not on the Categories sheet - rows will fall to Review Required. ","")&amp;IF(Rules!$F$296="Broad","Broad scope - deliberately forces Review Required. ","")&amp;IF(Rules!$G$296&lt;&gt;"Yes","Rule is switched OFF. ","")&amp;IF(AND(Rules!$C$296&lt;&gt;"",Rules!$D$296=""),"Keyword with no category. ","")))</f>
        <v>Broad scope - deliberately forces Review Required.</v>
      </c>
    </row>
    <row r="296" spans="2:8" x14ac:dyDescent="0.25">
      <c r="B296" s="75">
        <f>IF(Rules!$C$297="","",Rules!$B$297)</f>
        <v>900</v>
      </c>
      <c r="C296" s="146" t="str">
        <f>IF(Rules!$C$297="","",Rules!$C$297)</f>
        <v>HOME DEPOT</v>
      </c>
      <c r="D296" s="146" t="str">
        <f>IF(Rules!$C$297="","",Rules!$D$297)</f>
        <v>Review Required - Mixed-Use Vendor</v>
      </c>
      <c r="E296" s="75" t="str">
        <f>IF(Rules!$C$297="","",Rules!$E$297)</f>
        <v>Any</v>
      </c>
      <c r="F296" s="75" t="str">
        <f>IF(Rules!$C$297="","",Rules!$G$297)</f>
        <v>Yes</v>
      </c>
      <c r="G296" s="147">
        <v>297</v>
      </c>
      <c r="H296" s="148" t="str">
        <f>IF(Rules!$C$297="","",TRIM(IF(COUNTIFS(Rules_Key,Rules!$C$297,Rules_Dir,Rules!$E$297)&gt;1,"Duplicate keyword+direction. ","")&amp;IF(LEN(Rules!$C$297)&lt;5,"Keyword under 5 characters - matches too much. ","")&amp;IF(AND(Rules!$D$297&lt;&gt;"",COUNTIF(Cat_Name,Rules!$D$297)=0),"Category is not on the Categories sheet - rows will fall to Review Required. ","")&amp;IF(Rules!$F$297="Broad","Broad scope - deliberately forces Review Required. ","")&amp;IF(Rules!$G$297&lt;&gt;"Yes","Rule is switched OFF. ","")&amp;IF(AND(Rules!$C$297&lt;&gt;"",Rules!$D$297=""),"Keyword with no category. ","")))</f>
        <v>Broad scope - deliberately forces Review Required.</v>
      </c>
    </row>
    <row r="297" spans="2:8" x14ac:dyDescent="0.25">
      <c r="B297" s="73">
        <f>IF(Rules!$C$298="","",Rules!$B$298)</f>
        <v>900</v>
      </c>
      <c r="C297" s="143" t="str">
        <f>IF(Rules!$C$298="","",Rules!$C$298)</f>
        <v>THE HOME DEPOT</v>
      </c>
      <c r="D297" s="143" t="str">
        <f>IF(Rules!$C$298="","",Rules!$D$298)</f>
        <v>Review Required - Mixed-Use Vendor</v>
      </c>
      <c r="E297" s="73" t="str">
        <f>IF(Rules!$C$298="","",Rules!$E$298)</f>
        <v>Any</v>
      </c>
      <c r="F297" s="73" t="str">
        <f>IF(Rules!$C$298="","",Rules!$G$298)</f>
        <v>Yes</v>
      </c>
      <c r="G297" s="144">
        <v>298</v>
      </c>
      <c r="H297" s="145" t="str">
        <f>IF(Rules!$C$298="","",TRIM(IF(COUNTIFS(Rules_Key,Rules!$C$298,Rules_Dir,Rules!$E$298)&gt;1,"Duplicate keyword+direction. ","")&amp;IF(LEN(Rules!$C$298)&lt;5,"Keyword under 5 characters - matches too much. ","")&amp;IF(AND(Rules!$D$298&lt;&gt;"",COUNTIF(Cat_Name,Rules!$D$298)=0),"Category is not on the Categories sheet - rows will fall to Review Required. ","")&amp;IF(Rules!$F$298="Broad","Broad scope - deliberately forces Review Required. ","")&amp;IF(Rules!$G$298&lt;&gt;"Yes","Rule is switched OFF. ","")&amp;IF(AND(Rules!$C$298&lt;&gt;"",Rules!$D$298=""),"Keyword with no category. ","")))</f>
        <v>Broad scope - deliberately forces Review Required.</v>
      </c>
    </row>
    <row r="298" spans="2:8" x14ac:dyDescent="0.25">
      <c r="B298" s="75">
        <f>IF(Rules!$C$299="","",Rules!$B$299)</f>
        <v>900</v>
      </c>
      <c r="C298" s="146" t="str">
        <f>IF(Rules!$C$299="","",Rules!$C$299)</f>
        <v>LOWES</v>
      </c>
      <c r="D298" s="146" t="str">
        <f>IF(Rules!$C$299="","",Rules!$D$299)</f>
        <v>Review Required - Mixed-Use Vendor</v>
      </c>
      <c r="E298" s="75" t="str">
        <f>IF(Rules!$C$299="","",Rules!$E$299)</f>
        <v>Any</v>
      </c>
      <c r="F298" s="75" t="str">
        <f>IF(Rules!$C$299="","",Rules!$G$299)</f>
        <v>Yes</v>
      </c>
      <c r="G298" s="147">
        <v>299</v>
      </c>
      <c r="H298" s="148" t="str">
        <f>IF(Rules!$C$299="","",TRIM(IF(COUNTIFS(Rules_Key,Rules!$C$299,Rules_Dir,Rules!$E$299)&gt;1,"Duplicate keyword+direction. ","")&amp;IF(LEN(Rules!$C$299)&lt;5,"Keyword under 5 characters - matches too much. ","")&amp;IF(AND(Rules!$D$299&lt;&gt;"",COUNTIF(Cat_Name,Rules!$D$299)=0),"Category is not on the Categories sheet - rows will fall to Review Required. ","")&amp;IF(Rules!$F$299="Broad","Broad scope - deliberately forces Review Required. ","")&amp;IF(Rules!$G$299&lt;&gt;"Yes","Rule is switched OFF. ","")&amp;IF(AND(Rules!$C$299&lt;&gt;"",Rules!$D$299=""),"Keyword with no category. ","")))</f>
        <v>Broad scope - deliberately forces Review Required.</v>
      </c>
    </row>
    <row r="299" spans="2:8" x14ac:dyDescent="0.25">
      <c r="B299" s="73">
        <f>IF(Rules!$C$300="","",Rules!$B$300)</f>
        <v>900</v>
      </c>
      <c r="C299" s="143" t="str">
        <f>IF(Rules!$C$300="","",Rules!$C$300)</f>
        <v>LOWE'S</v>
      </c>
      <c r="D299" s="143" t="str">
        <f>IF(Rules!$C$300="","",Rules!$D$300)</f>
        <v>Review Required - Mixed-Use Vendor</v>
      </c>
      <c r="E299" s="73" t="str">
        <f>IF(Rules!$C$300="","",Rules!$E$300)</f>
        <v>Any</v>
      </c>
      <c r="F299" s="73" t="str">
        <f>IF(Rules!$C$300="","",Rules!$G$300)</f>
        <v>Yes</v>
      </c>
      <c r="G299" s="144">
        <v>300</v>
      </c>
      <c r="H299" s="145" t="str">
        <f>IF(Rules!$C$300="","",TRIM(IF(COUNTIFS(Rules_Key,Rules!$C$300,Rules_Dir,Rules!$E$300)&gt;1,"Duplicate keyword+direction. ","")&amp;IF(LEN(Rules!$C$300)&lt;5,"Keyword under 5 characters - matches too much. ","")&amp;IF(AND(Rules!$D$300&lt;&gt;"",COUNTIF(Cat_Name,Rules!$D$300)=0),"Category is not on the Categories sheet - rows will fall to Review Required. ","")&amp;IF(Rules!$F$300="Broad","Broad scope - deliberately forces Review Required. ","")&amp;IF(Rules!$G$300&lt;&gt;"Yes","Rule is switched OFF. ","")&amp;IF(AND(Rules!$C$300&lt;&gt;"",Rules!$D$300=""),"Keyword with no category. ","")))</f>
        <v>Broad scope - deliberately forces Review Required.</v>
      </c>
    </row>
    <row r="300" spans="2:8" x14ac:dyDescent="0.25">
      <c r="B300" s="75">
        <f>IF(Rules!$C$301="","",Rules!$B$301)</f>
        <v>900</v>
      </c>
      <c r="C300" s="146" t="str">
        <f>IF(Rules!$C$301="","",Rules!$C$301)</f>
        <v>RESTAURANT</v>
      </c>
      <c r="D300" s="146" t="str">
        <f>IF(Rules!$C$301="","",Rules!$D$301)</f>
        <v>Review Required - Mixed-Use Vendor</v>
      </c>
      <c r="E300" s="75" t="str">
        <f>IF(Rules!$C$301="","",Rules!$E$301)</f>
        <v>Any</v>
      </c>
      <c r="F300" s="75" t="str">
        <f>IF(Rules!$C$301="","",Rules!$G$301)</f>
        <v>Yes</v>
      </c>
      <c r="G300" s="147">
        <v>301</v>
      </c>
      <c r="H300" s="148" t="str">
        <f>IF(Rules!$C$301="","",TRIM(IF(COUNTIFS(Rules_Key,Rules!$C$301,Rules_Dir,Rules!$E$301)&gt;1,"Duplicate keyword+direction. ","")&amp;IF(LEN(Rules!$C$301)&lt;5,"Keyword under 5 characters - matches too much. ","")&amp;IF(AND(Rules!$D$301&lt;&gt;"",COUNTIF(Cat_Name,Rules!$D$301)=0),"Category is not on the Categories sheet - rows will fall to Review Required. ","")&amp;IF(Rules!$F$301="Broad","Broad scope - deliberately forces Review Required. ","")&amp;IF(Rules!$G$301&lt;&gt;"Yes","Rule is switched OFF. ","")&amp;IF(AND(Rules!$C$301&lt;&gt;"",Rules!$D$301=""),"Keyword with no category. ","")))</f>
        <v>Broad scope - deliberately forces Review Required.</v>
      </c>
    </row>
    <row r="301" spans="2:8" x14ac:dyDescent="0.25">
      <c r="B301" s="73">
        <f>IF(Rules!$C$302="","",Rules!$B$302)</f>
        <v>900</v>
      </c>
      <c r="C301" s="143" t="str">
        <f>IF(Rules!$C$302="","",Rules!$C$302)</f>
        <v>STARBUCKS</v>
      </c>
      <c r="D301" s="143" t="str">
        <f>IF(Rules!$C$302="","",Rules!$D$302)</f>
        <v>Review Required - Mixed-Use Vendor</v>
      </c>
      <c r="E301" s="73" t="str">
        <f>IF(Rules!$C$302="","",Rules!$E$302)</f>
        <v>Any</v>
      </c>
      <c r="F301" s="73" t="str">
        <f>IF(Rules!$C$302="","",Rules!$G$302)</f>
        <v>Yes</v>
      </c>
      <c r="G301" s="144">
        <v>302</v>
      </c>
      <c r="H301" s="145" t="str">
        <f>IF(Rules!$C$302="","",TRIM(IF(COUNTIFS(Rules_Key,Rules!$C$302,Rules_Dir,Rules!$E$302)&gt;1,"Duplicate keyword+direction. ","")&amp;IF(LEN(Rules!$C$302)&lt;5,"Keyword under 5 characters - matches too much. ","")&amp;IF(AND(Rules!$D$302&lt;&gt;"",COUNTIF(Cat_Name,Rules!$D$302)=0),"Category is not on the Categories sheet - rows will fall to Review Required. ","")&amp;IF(Rules!$F$302="Broad","Broad scope - deliberately forces Review Required. ","")&amp;IF(Rules!$G$302&lt;&gt;"Yes","Rule is switched OFF. ","")&amp;IF(AND(Rules!$C$302&lt;&gt;"",Rules!$D$302=""),"Keyword with no category. ","")))</f>
        <v>Broad scope - deliberately forces Review Required.</v>
      </c>
    </row>
    <row r="302" spans="2:8" x14ac:dyDescent="0.25">
      <c r="B302" s="75">
        <f>IF(Rules!$C$303="","",Rules!$B$303)</f>
        <v>900</v>
      </c>
      <c r="C302" s="146" t="str">
        <f>IF(Rules!$C$303="","",Rules!$C$303)</f>
        <v>DOORDASH</v>
      </c>
      <c r="D302" s="146" t="str">
        <f>IF(Rules!$C$303="","",Rules!$D$303)</f>
        <v>Review Required - Mixed-Use Vendor</v>
      </c>
      <c r="E302" s="75" t="str">
        <f>IF(Rules!$C$303="","",Rules!$E$303)</f>
        <v>Any</v>
      </c>
      <c r="F302" s="75" t="str">
        <f>IF(Rules!$C$303="","",Rules!$G$303)</f>
        <v>Yes</v>
      </c>
      <c r="G302" s="147">
        <v>303</v>
      </c>
      <c r="H302" s="148" t="str">
        <f>IF(Rules!$C$303="","",TRIM(IF(COUNTIFS(Rules_Key,Rules!$C$303,Rules_Dir,Rules!$E$303)&gt;1,"Duplicate keyword+direction. ","")&amp;IF(LEN(Rules!$C$303)&lt;5,"Keyword under 5 characters - matches too much. ","")&amp;IF(AND(Rules!$D$303&lt;&gt;"",COUNTIF(Cat_Name,Rules!$D$303)=0),"Category is not on the Categories sheet - rows will fall to Review Required. ","")&amp;IF(Rules!$F$303="Broad","Broad scope - deliberately forces Review Required. ","")&amp;IF(Rules!$G$303&lt;&gt;"Yes","Rule is switched OFF. ","")&amp;IF(AND(Rules!$C$303&lt;&gt;"",Rules!$D$303=""),"Keyword with no category. ","")))</f>
        <v>Broad scope - deliberately forces Review Required.</v>
      </c>
    </row>
    <row r="303" spans="2:8" ht="22.5" x14ac:dyDescent="0.25">
      <c r="B303" s="73">
        <f>IF(Rules!$C$304="","",Rules!$B$304)</f>
        <v>900</v>
      </c>
      <c r="C303" s="143" t="str">
        <f>IF(Rules!$C$304="","",Rules!$C$304)</f>
        <v>UBER</v>
      </c>
      <c r="D303" s="143" t="str">
        <f>IF(Rules!$C$304="","",Rules!$D$304)</f>
        <v>Review Required - Mixed-Use Vendor</v>
      </c>
      <c r="E303" s="73" t="str">
        <f>IF(Rules!$C$304="","",Rules!$E$304)</f>
        <v>Any</v>
      </c>
      <c r="F303" s="73" t="str">
        <f>IF(Rules!$C$304="","",Rules!$G$304)</f>
        <v>Yes</v>
      </c>
      <c r="G303" s="144">
        <v>304</v>
      </c>
      <c r="H303" s="145" t="str">
        <f>IF(Rules!$C$304="","",TRIM(IF(COUNTIFS(Rules_Key,Rules!$C$304,Rules_Dir,Rules!$E$304)&gt;1,"Duplicate keyword+direction. ","")&amp;IF(LEN(Rules!$C$304)&lt;5,"Keyword under 5 characters - matches too much. ","")&amp;IF(AND(Rules!$D$304&lt;&gt;"",COUNTIF(Cat_Name,Rules!$D$304)=0),"Category is not on the Categories sheet - rows will fall to Review Required. ","")&amp;IF(Rules!$F$304="Broad","Broad scope - deliberately forces Review Required. ","")&amp;IF(Rules!$G$304&lt;&gt;"Yes","Rule is switched OFF. ","")&amp;IF(AND(Rules!$C$304&lt;&gt;"",Rules!$D$304=""),"Keyword with no category. ","")))</f>
        <v>Keyword under 5 characters - matches too much. Broad scope - deliberately forces Review Required.</v>
      </c>
    </row>
    <row r="304" spans="2:8" x14ac:dyDescent="0.25">
      <c r="B304" s="75">
        <f>IF(Rules!$C$305="","",Rules!$B$305)</f>
        <v>900</v>
      </c>
      <c r="C304" s="146" t="str">
        <f>IF(Rules!$C$305="","",Rules!$C$305)</f>
        <v>OLIVE GARDEN</v>
      </c>
      <c r="D304" s="146" t="str">
        <f>IF(Rules!$C$305="","",Rules!$D$305)</f>
        <v>Review Required - Mixed-Use Vendor</v>
      </c>
      <c r="E304" s="75" t="str">
        <f>IF(Rules!$C$305="","",Rules!$E$305)</f>
        <v>Any</v>
      </c>
      <c r="F304" s="75" t="str">
        <f>IF(Rules!$C$305="","",Rules!$G$305)</f>
        <v>Yes</v>
      </c>
      <c r="G304" s="147">
        <v>305</v>
      </c>
      <c r="H304" s="148" t="str">
        <f>IF(Rules!$C$305="","",TRIM(IF(COUNTIFS(Rules_Key,Rules!$C$305,Rules_Dir,Rules!$E$305)&gt;1,"Duplicate keyword+direction. ","")&amp;IF(LEN(Rules!$C$305)&lt;5,"Keyword under 5 characters - matches too much. ","")&amp;IF(AND(Rules!$D$305&lt;&gt;"",COUNTIF(Cat_Name,Rules!$D$305)=0),"Category is not on the Categories sheet - rows will fall to Review Required. ","")&amp;IF(Rules!$F$305="Broad","Broad scope - deliberately forces Review Required. ","")&amp;IF(Rules!$G$305&lt;&gt;"Yes","Rule is switched OFF. ","")&amp;IF(AND(Rules!$C$305&lt;&gt;"",Rules!$D$305=""),"Keyword with no category. ","")))</f>
        <v>Broad scope - deliberately forces Review Required.</v>
      </c>
    </row>
    <row r="305" spans="2:8" x14ac:dyDescent="0.25">
      <c r="B305" s="73">
        <f>IF(Rules!$C$306="","",Rules!$B$306)</f>
        <v>900</v>
      </c>
      <c r="C305" s="143" t="str">
        <f>IF(Rules!$C$306="","",Rules!$C$306)</f>
        <v>CHIPOTLE</v>
      </c>
      <c r="D305" s="143" t="str">
        <f>IF(Rules!$C$306="","",Rules!$D$306)</f>
        <v>Review Required - Mixed-Use Vendor</v>
      </c>
      <c r="E305" s="73" t="str">
        <f>IF(Rules!$C$306="","",Rules!$E$306)</f>
        <v>Any</v>
      </c>
      <c r="F305" s="73" t="str">
        <f>IF(Rules!$C$306="","",Rules!$G$306)</f>
        <v>Yes</v>
      </c>
      <c r="G305" s="144">
        <v>306</v>
      </c>
      <c r="H305" s="145" t="str">
        <f>IF(Rules!$C$306="","",TRIM(IF(COUNTIFS(Rules_Key,Rules!$C$306,Rules_Dir,Rules!$E$306)&gt;1,"Duplicate keyword+direction. ","")&amp;IF(LEN(Rules!$C$306)&lt;5,"Keyword under 5 characters - matches too much. ","")&amp;IF(AND(Rules!$D$306&lt;&gt;"",COUNTIF(Cat_Name,Rules!$D$306)=0),"Category is not on the Categories sheet - rows will fall to Review Required. ","")&amp;IF(Rules!$F$306="Broad","Broad scope - deliberately forces Review Required. ","")&amp;IF(Rules!$G$306&lt;&gt;"Yes","Rule is switched OFF. ","")&amp;IF(AND(Rules!$C$306&lt;&gt;"",Rules!$D$306=""),"Keyword with no category. ","")))</f>
        <v>Broad scope - deliberately forces Review Required.</v>
      </c>
    </row>
    <row r="306" spans="2:8" x14ac:dyDescent="0.25">
      <c r="B306" s="75">
        <f>IF(Rules!$C$307="","",Rules!$B$307)</f>
        <v>900</v>
      </c>
      <c r="C306" s="146" t="str">
        <f>IF(Rules!$C$307="","",Rules!$C$307)</f>
        <v>PANERA</v>
      </c>
      <c r="D306" s="146" t="str">
        <f>IF(Rules!$C$307="","",Rules!$D$307)</f>
        <v>Review Required - Mixed-Use Vendor</v>
      </c>
      <c r="E306" s="75" t="str">
        <f>IF(Rules!$C$307="","",Rules!$E$307)</f>
        <v>Any</v>
      </c>
      <c r="F306" s="75" t="str">
        <f>IF(Rules!$C$307="","",Rules!$G$307)</f>
        <v>Yes</v>
      </c>
      <c r="G306" s="147">
        <v>307</v>
      </c>
      <c r="H306" s="148" t="str">
        <f>IF(Rules!$C$307="","",TRIM(IF(COUNTIFS(Rules_Key,Rules!$C$307,Rules_Dir,Rules!$E$307)&gt;1,"Duplicate keyword+direction. ","")&amp;IF(LEN(Rules!$C$307)&lt;5,"Keyword under 5 characters - matches too much. ","")&amp;IF(AND(Rules!$D$307&lt;&gt;"",COUNTIF(Cat_Name,Rules!$D$307)=0),"Category is not on the Categories sheet - rows will fall to Review Required. ","")&amp;IF(Rules!$F$307="Broad","Broad scope - deliberately forces Review Required. ","")&amp;IF(Rules!$G$307&lt;&gt;"Yes","Rule is switched OFF. ","")&amp;IF(AND(Rules!$C$307&lt;&gt;"",Rules!$D$307=""),"Keyword with no category. ","")))</f>
        <v>Broad scope - deliberately forces Review Required.</v>
      </c>
    </row>
    <row r="307" spans="2:8" x14ac:dyDescent="0.25">
      <c r="B307" s="73">
        <f>IF(Rules!$C$308="","",Rules!$B$308)</f>
        <v>900</v>
      </c>
      <c r="C307" s="143" t="str">
        <f>IF(Rules!$C$308="","",Rules!$C$308)</f>
        <v>MCDONALD</v>
      </c>
      <c r="D307" s="143" t="str">
        <f>IF(Rules!$C$308="","",Rules!$D$308)</f>
        <v>Review Required - Mixed-Use Vendor</v>
      </c>
      <c r="E307" s="73" t="str">
        <f>IF(Rules!$C$308="","",Rules!$E$308)</f>
        <v>Any</v>
      </c>
      <c r="F307" s="73" t="str">
        <f>IF(Rules!$C$308="","",Rules!$G$308)</f>
        <v>Yes</v>
      </c>
      <c r="G307" s="144">
        <v>308</v>
      </c>
      <c r="H307" s="145" t="str">
        <f>IF(Rules!$C$308="","",TRIM(IF(COUNTIFS(Rules_Key,Rules!$C$308,Rules_Dir,Rules!$E$308)&gt;1,"Duplicate keyword+direction. ","")&amp;IF(LEN(Rules!$C$308)&lt;5,"Keyword under 5 characters - matches too much. ","")&amp;IF(AND(Rules!$D$308&lt;&gt;"",COUNTIF(Cat_Name,Rules!$D$308)=0),"Category is not on the Categories sheet - rows will fall to Review Required. ","")&amp;IF(Rules!$F$308="Broad","Broad scope - deliberately forces Review Required. ","")&amp;IF(Rules!$G$308&lt;&gt;"Yes","Rule is switched OFF. ","")&amp;IF(AND(Rules!$C$308&lt;&gt;"",Rules!$D$308=""),"Keyword with no category. ","")))</f>
        <v>Broad scope - deliberately forces Review Required.</v>
      </c>
    </row>
    <row r="308" spans="2:8" x14ac:dyDescent="0.25">
      <c r="B308" s="75">
        <f>IF(Rules!$C$309="","",Rules!$B$309)</f>
        <v>900</v>
      </c>
      <c r="C308" s="146" t="str">
        <f>IF(Rules!$C$309="","",Rules!$C$309)</f>
        <v>CHICK-FIL-A</v>
      </c>
      <c r="D308" s="146" t="str">
        <f>IF(Rules!$C$309="","",Rules!$D$309)</f>
        <v>Review Required - Mixed-Use Vendor</v>
      </c>
      <c r="E308" s="75" t="str">
        <f>IF(Rules!$C$309="","",Rules!$E$309)</f>
        <v>Any</v>
      </c>
      <c r="F308" s="75" t="str">
        <f>IF(Rules!$C$309="","",Rules!$G$309)</f>
        <v>Yes</v>
      </c>
      <c r="G308" s="147">
        <v>309</v>
      </c>
      <c r="H308" s="148" t="str">
        <f>IF(Rules!$C$309="","",TRIM(IF(COUNTIFS(Rules_Key,Rules!$C$309,Rules_Dir,Rules!$E$309)&gt;1,"Duplicate keyword+direction. ","")&amp;IF(LEN(Rules!$C$309)&lt;5,"Keyword under 5 characters - matches too much. ","")&amp;IF(AND(Rules!$D$309&lt;&gt;"",COUNTIF(Cat_Name,Rules!$D$309)=0),"Category is not on the Categories sheet - rows will fall to Review Required. ","")&amp;IF(Rules!$F$309="Broad","Broad scope - deliberately forces Review Required. ","")&amp;IF(Rules!$G$309&lt;&gt;"Yes","Rule is switched OFF. ","")&amp;IF(AND(Rules!$C$309&lt;&gt;"",Rules!$D$309=""),"Keyword with no category. ","")))</f>
        <v>Broad scope - deliberately forces Review Required.</v>
      </c>
    </row>
    <row r="309" spans="2:8" x14ac:dyDescent="0.25">
      <c r="B309" s="73">
        <f>IF(Rules!$C$310="","",Rules!$B$310)</f>
        <v>900</v>
      </c>
      <c r="C309" s="143" t="str">
        <f>IF(Rules!$C$310="","",Rules!$C$310)</f>
        <v>SUBWAY</v>
      </c>
      <c r="D309" s="143" t="str">
        <f>IF(Rules!$C$310="","",Rules!$D$310)</f>
        <v>Review Required - Mixed-Use Vendor</v>
      </c>
      <c r="E309" s="73" t="str">
        <f>IF(Rules!$C$310="","",Rules!$E$310)</f>
        <v>Any</v>
      </c>
      <c r="F309" s="73" t="str">
        <f>IF(Rules!$C$310="","",Rules!$G$310)</f>
        <v>Yes</v>
      </c>
      <c r="G309" s="144">
        <v>310</v>
      </c>
      <c r="H309" s="145" t="str">
        <f>IF(Rules!$C$310="","",TRIM(IF(COUNTIFS(Rules_Key,Rules!$C$310,Rules_Dir,Rules!$E$310)&gt;1,"Duplicate keyword+direction. ","")&amp;IF(LEN(Rules!$C$310)&lt;5,"Keyword under 5 characters - matches too much. ","")&amp;IF(AND(Rules!$D$310&lt;&gt;"",COUNTIF(Cat_Name,Rules!$D$310)=0),"Category is not on the Categories sheet - rows will fall to Review Required. ","")&amp;IF(Rules!$F$310="Broad","Broad scope - deliberately forces Review Required. ","")&amp;IF(Rules!$G$310&lt;&gt;"Yes","Rule is switched OFF. ","")&amp;IF(AND(Rules!$C$310&lt;&gt;"",Rules!$D$310=""),"Keyword with no category. ","")))</f>
        <v>Broad scope - deliberately forces Review Required.</v>
      </c>
    </row>
    <row r="310" spans="2:8" x14ac:dyDescent="0.25">
      <c r="B310" s="75">
        <f>IF(Rules!$C$311="","",Rules!$B$311)</f>
        <v>900</v>
      </c>
      <c r="C310" s="146" t="str">
        <f>IF(Rules!$C$311="","",Rules!$C$311)</f>
        <v>PIZZA</v>
      </c>
      <c r="D310" s="146" t="str">
        <f>IF(Rules!$C$311="","",Rules!$D$311)</f>
        <v>Review Required - Mixed-Use Vendor</v>
      </c>
      <c r="E310" s="75" t="str">
        <f>IF(Rules!$C$311="","",Rules!$E$311)</f>
        <v>Any</v>
      </c>
      <c r="F310" s="75" t="str">
        <f>IF(Rules!$C$311="","",Rules!$G$311)</f>
        <v>Yes</v>
      </c>
      <c r="G310" s="147">
        <v>311</v>
      </c>
      <c r="H310" s="148" t="str">
        <f>IF(Rules!$C$311="","",TRIM(IF(COUNTIFS(Rules_Key,Rules!$C$311,Rules_Dir,Rules!$E$311)&gt;1,"Duplicate keyword+direction. ","")&amp;IF(LEN(Rules!$C$311)&lt;5,"Keyword under 5 characters - matches too much. ","")&amp;IF(AND(Rules!$D$311&lt;&gt;"",COUNTIF(Cat_Name,Rules!$D$311)=0),"Category is not on the Categories sheet - rows will fall to Review Required. ","")&amp;IF(Rules!$F$311="Broad","Broad scope - deliberately forces Review Required. ","")&amp;IF(Rules!$G$311&lt;&gt;"Yes","Rule is switched OFF. ","")&amp;IF(AND(Rules!$C$311&lt;&gt;"",Rules!$D$311=""),"Keyword with no category. ","")))</f>
        <v>Broad scope - deliberately forces Review Required.</v>
      </c>
    </row>
    <row r="311" spans="2:8" ht="22.5" x14ac:dyDescent="0.25">
      <c r="B311" s="73">
        <f>IF(Rules!$C$312="","",Rules!$B$312)</f>
        <v>900</v>
      </c>
      <c r="C311" s="143" t="str">
        <f>IF(Rules!$C$312="","",Rules!$C$312)</f>
        <v>CAFE</v>
      </c>
      <c r="D311" s="143" t="str">
        <f>IF(Rules!$C$312="","",Rules!$D$312)</f>
        <v>Review Required - Mixed-Use Vendor</v>
      </c>
      <c r="E311" s="73" t="str">
        <f>IF(Rules!$C$312="","",Rules!$E$312)</f>
        <v>Any</v>
      </c>
      <c r="F311" s="73" t="str">
        <f>IF(Rules!$C$312="","",Rules!$G$312)</f>
        <v>Yes</v>
      </c>
      <c r="G311" s="144">
        <v>312</v>
      </c>
      <c r="H311" s="145" t="str">
        <f>IF(Rules!$C$312="","",TRIM(IF(COUNTIFS(Rules_Key,Rules!$C$312,Rules_Dir,Rules!$E$312)&gt;1,"Duplicate keyword+direction. ","")&amp;IF(LEN(Rules!$C$312)&lt;5,"Keyword under 5 characters - matches too much. ","")&amp;IF(AND(Rules!$D$312&lt;&gt;"",COUNTIF(Cat_Name,Rules!$D$312)=0),"Category is not on the Categories sheet - rows will fall to Review Required. ","")&amp;IF(Rules!$F$312="Broad","Broad scope - deliberately forces Review Required. ","")&amp;IF(Rules!$G$312&lt;&gt;"Yes","Rule is switched OFF. ","")&amp;IF(AND(Rules!$C$312&lt;&gt;"",Rules!$D$312=""),"Keyword with no category. ","")))</f>
        <v>Keyword under 5 characters - matches too much. Broad scope - deliberately forces Review Required.</v>
      </c>
    </row>
    <row r="312" spans="2:8" x14ac:dyDescent="0.25">
      <c r="B312" s="75">
        <f>IF(Rules!$C$313="","",Rules!$B$313)</f>
        <v>900</v>
      </c>
      <c r="C312" s="146" t="str">
        <f>IF(Rules!$C$313="","",Rules!$C$313)</f>
        <v>GRILL</v>
      </c>
      <c r="D312" s="146" t="str">
        <f>IF(Rules!$C$313="","",Rules!$D$313)</f>
        <v>Review Required - Mixed-Use Vendor</v>
      </c>
      <c r="E312" s="75" t="str">
        <f>IF(Rules!$C$313="","",Rules!$E$313)</f>
        <v>Any</v>
      </c>
      <c r="F312" s="75" t="str">
        <f>IF(Rules!$C$313="","",Rules!$G$313)</f>
        <v>Yes</v>
      </c>
      <c r="G312" s="147">
        <v>313</v>
      </c>
      <c r="H312" s="148" t="str">
        <f>IF(Rules!$C$313="","",TRIM(IF(COUNTIFS(Rules_Key,Rules!$C$313,Rules_Dir,Rules!$E$313)&gt;1,"Duplicate keyword+direction. ","")&amp;IF(LEN(Rules!$C$313)&lt;5,"Keyword under 5 characters - matches too much. ","")&amp;IF(AND(Rules!$D$313&lt;&gt;"",COUNTIF(Cat_Name,Rules!$D$313)=0),"Category is not on the Categories sheet - rows will fall to Review Required. ","")&amp;IF(Rules!$F$313="Broad","Broad scope - deliberately forces Review Required. ","")&amp;IF(Rules!$G$313&lt;&gt;"Yes","Rule is switched OFF. ","")&amp;IF(AND(Rules!$C$313&lt;&gt;"",Rules!$D$313=""),"Keyword with no category. ","")))</f>
        <v>Broad scope - deliberately forces Review Required.</v>
      </c>
    </row>
    <row r="313" spans="2:8" ht="22.5" x14ac:dyDescent="0.25">
      <c r="B313" s="73">
        <f>IF(Rules!$C$314="","",Rules!$B$314)</f>
        <v>900</v>
      </c>
      <c r="C313" s="143" t="str">
        <f>IF(Rules!$C$314="","",Rules!$C$314)</f>
        <v>BBQ</v>
      </c>
      <c r="D313" s="143" t="str">
        <f>IF(Rules!$C$314="","",Rules!$D$314)</f>
        <v>Review Required - Mixed-Use Vendor</v>
      </c>
      <c r="E313" s="73" t="str">
        <f>IF(Rules!$C$314="","",Rules!$E$314)</f>
        <v>Any</v>
      </c>
      <c r="F313" s="73" t="str">
        <f>IF(Rules!$C$314="","",Rules!$G$314)</f>
        <v>Yes</v>
      </c>
      <c r="G313" s="144">
        <v>314</v>
      </c>
      <c r="H313" s="145" t="str">
        <f>IF(Rules!$C$314="","",TRIM(IF(COUNTIFS(Rules_Key,Rules!$C$314,Rules_Dir,Rules!$E$314)&gt;1,"Duplicate keyword+direction. ","")&amp;IF(LEN(Rules!$C$314)&lt;5,"Keyword under 5 characters - matches too much. ","")&amp;IF(AND(Rules!$D$314&lt;&gt;"",COUNTIF(Cat_Name,Rules!$D$314)=0),"Category is not on the Categories sheet - rows will fall to Review Required. ","")&amp;IF(Rules!$F$314="Broad","Broad scope - deliberately forces Review Required. ","")&amp;IF(Rules!$G$314&lt;&gt;"Yes","Rule is switched OFF. ","")&amp;IF(AND(Rules!$C$314&lt;&gt;"",Rules!$D$314=""),"Keyword with no category. ","")))</f>
        <v>Keyword under 5 characters - matches too much. Broad scope - deliberately forces Review Required.</v>
      </c>
    </row>
    <row r="314" spans="2:8" ht="22.5" x14ac:dyDescent="0.25">
      <c r="B314" s="75">
        <f>IF(Rules!$C$315="","",Rules!$B$315)</f>
        <v>900</v>
      </c>
      <c r="C314" s="146" t="str">
        <f>IF(Rules!$C$315="","",Rules!$C$315)</f>
        <v>TACO</v>
      </c>
      <c r="D314" s="146" t="str">
        <f>IF(Rules!$C$315="","",Rules!$D$315)</f>
        <v>Review Required - Mixed-Use Vendor</v>
      </c>
      <c r="E314" s="75" t="str">
        <f>IF(Rules!$C$315="","",Rules!$E$315)</f>
        <v>Any</v>
      </c>
      <c r="F314" s="75" t="str">
        <f>IF(Rules!$C$315="","",Rules!$G$315)</f>
        <v>Yes</v>
      </c>
      <c r="G314" s="147">
        <v>315</v>
      </c>
      <c r="H314" s="148" t="str">
        <f>IF(Rules!$C$315="","",TRIM(IF(COUNTIFS(Rules_Key,Rules!$C$315,Rules_Dir,Rules!$E$315)&gt;1,"Duplicate keyword+direction. ","")&amp;IF(LEN(Rules!$C$315)&lt;5,"Keyword under 5 characters - matches too much. ","")&amp;IF(AND(Rules!$D$315&lt;&gt;"",COUNTIF(Cat_Name,Rules!$D$315)=0),"Category is not on the Categories sheet - rows will fall to Review Required. ","")&amp;IF(Rules!$F$315="Broad","Broad scope - deliberately forces Review Required. ","")&amp;IF(Rules!$G$315&lt;&gt;"Yes","Rule is switched OFF. ","")&amp;IF(AND(Rules!$C$315&lt;&gt;"",Rules!$D$315=""),"Keyword with no category. ","")))</f>
        <v>Keyword under 5 characters - matches too much. Broad scope - deliberately forces Review Required.</v>
      </c>
    </row>
    <row r="315" spans="2:8" x14ac:dyDescent="0.25">
      <c r="B315" s="73">
        <f>IF(Rules!$C$316="","",Rules!$B$316)</f>
        <v>900</v>
      </c>
      <c r="C315" s="143" t="str">
        <f>IF(Rules!$C$316="","",Rules!$C$316)</f>
        <v>BAKERY</v>
      </c>
      <c r="D315" s="143" t="str">
        <f>IF(Rules!$C$316="","",Rules!$D$316)</f>
        <v>Review Required - Mixed-Use Vendor</v>
      </c>
      <c r="E315" s="73" t="str">
        <f>IF(Rules!$C$316="","",Rules!$E$316)</f>
        <v>Any</v>
      </c>
      <c r="F315" s="73" t="str">
        <f>IF(Rules!$C$316="","",Rules!$G$316)</f>
        <v>Yes</v>
      </c>
      <c r="G315" s="144">
        <v>316</v>
      </c>
      <c r="H315" s="145" t="str">
        <f>IF(Rules!$C$316="","",TRIM(IF(COUNTIFS(Rules_Key,Rules!$C$316,Rules_Dir,Rules!$E$316)&gt;1,"Duplicate keyword+direction. ","")&amp;IF(LEN(Rules!$C$316)&lt;5,"Keyword under 5 characters - matches too much. ","")&amp;IF(AND(Rules!$D$316&lt;&gt;"",COUNTIF(Cat_Name,Rules!$D$316)=0),"Category is not on the Categories sheet - rows will fall to Review Required. ","")&amp;IF(Rules!$F$316="Broad","Broad scope - deliberately forces Review Required. ","")&amp;IF(Rules!$G$316&lt;&gt;"Yes","Rule is switched OFF. ","")&amp;IF(AND(Rules!$C$316&lt;&gt;"",Rules!$D$316=""),"Keyword with no category. ","")))</f>
        <v>Broad scope - deliberately forces Review Required.</v>
      </c>
    </row>
    <row r="316" spans="2:8" x14ac:dyDescent="0.25">
      <c r="B316" s="75">
        <f>IF(Rules!$C$317="","",Rules!$B$317)</f>
        <v>900</v>
      </c>
      <c r="C316" s="146" t="str">
        <f>IF(Rules!$C$317="","",Rules!$C$317)</f>
        <v>COFFEE</v>
      </c>
      <c r="D316" s="146" t="str">
        <f>IF(Rules!$C$317="","",Rules!$D$317)</f>
        <v>Review Required - Mixed-Use Vendor</v>
      </c>
      <c r="E316" s="75" t="str">
        <f>IF(Rules!$C$317="","",Rules!$E$317)</f>
        <v>Any</v>
      </c>
      <c r="F316" s="75" t="str">
        <f>IF(Rules!$C$317="","",Rules!$G$317)</f>
        <v>Yes</v>
      </c>
      <c r="G316" s="147">
        <v>317</v>
      </c>
      <c r="H316" s="148" t="str">
        <f>IF(Rules!$C$317="","",TRIM(IF(COUNTIFS(Rules_Key,Rules!$C$317,Rules_Dir,Rules!$E$317)&gt;1,"Duplicate keyword+direction. ","")&amp;IF(LEN(Rules!$C$317)&lt;5,"Keyword under 5 characters - matches too much. ","")&amp;IF(AND(Rules!$D$317&lt;&gt;"",COUNTIF(Cat_Name,Rules!$D$317)=0),"Category is not on the Categories sheet - rows will fall to Review Required. ","")&amp;IF(Rules!$F$317="Broad","Broad scope - deliberately forces Review Required. ","")&amp;IF(Rules!$G$317&lt;&gt;"Yes","Rule is switched OFF. ","")&amp;IF(AND(Rules!$C$317&lt;&gt;"",Rules!$D$317=""),"Keyword with no category. ","")))</f>
        <v>Broad scope - deliberately forces Review Required.</v>
      </c>
    </row>
    <row r="317" spans="2:8" x14ac:dyDescent="0.25">
      <c r="B317" s="73">
        <f>IF(Rules!$C$318="","",Rules!$B$318)</f>
        <v>900</v>
      </c>
      <c r="C317" s="143" t="str">
        <f>IF(Rules!$C$318="","",Rules!$C$318)</f>
        <v>STEAKHOUSE</v>
      </c>
      <c r="D317" s="143" t="str">
        <f>IF(Rules!$C$318="","",Rules!$D$318)</f>
        <v>Review Required - Mixed-Use Vendor</v>
      </c>
      <c r="E317" s="73" t="str">
        <f>IF(Rules!$C$318="","",Rules!$E$318)</f>
        <v>Any</v>
      </c>
      <c r="F317" s="73" t="str">
        <f>IF(Rules!$C$318="","",Rules!$G$318)</f>
        <v>Yes</v>
      </c>
      <c r="G317" s="144">
        <v>318</v>
      </c>
      <c r="H317" s="145" t="str">
        <f>IF(Rules!$C$318="","",TRIM(IF(COUNTIFS(Rules_Key,Rules!$C$318,Rules_Dir,Rules!$E$318)&gt;1,"Duplicate keyword+direction. ","")&amp;IF(LEN(Rules!$C$318)&lt;5,"Keyword under 5 characters - matches too much. ","")&amp;IF(AND(Rules!$D$318&lt;&gt;"",COUNTIF(Cat_Name,Rules!$D$318)=0),"Category is not on the Categories sheet - rows will fall to Review Required. ","")&amp;IF(Rules!$F$318="Broad","Broad scope - deliberately forces Review Required. ","")&amp;IF(Rules!$G$318&lt;&gt;"Yes","Rule is switched OFF. ","")&amp;IF(AND(Rules!$C$318&lt;&gt;"",Rules!$D$318=""),"Keyword with no category. ","")))</f>
        <v>Broad scope - deliberately forces Review Required.</v>
      </c>
    </row>
    <row r="318" spans="2:8" x14ac:dyDescent="0.25">
      <c r="B318" s="75">
        <f>IF(Rules!$C$319="","",Rules!$B$319)</f>
        <v>900</v>
      </c>
      <c r="C318" s="146" t="str">
        <f>IF(Rules!$C$319="","",Rules!$C$319)</f>
        <v>BISTRO</v>
      </c>
      <c r="D318" s="146" t="str">
        <f>IF(Rules!$C$319="","",Rules!$D$319)</f>
        <v>Review Required - Mixed-Use Vendor</v>
      </c>
      <c r="E318" s="75" t="str">
        <f>IF(Rules!$C$319="","",Rules!$E$319)</f>
        <v>Any</v>
      </c>
      <c r="F318" s="75" t="str">
        <f>IF(Rules!$C$319="","",Rules!$G$319)</f>
        <v>Yes</v>
      </c>
      <c r="G318" s="147">
        <v>319</v>
      </c>
      <c r="H318" s="148" t="str">
        <f>IF(Rules!$C$319="","",TRIM(IF(COUNTIFS(Rules_Key,Rules!$C$319,Rules_Dir,Rules!$E$319)&gt;1,"Duplicate keyword+direction. ","")&amp;IF(LEN(Rules!$C$319)&lt;5,"Keyword under 5 characters - matches too much. ","")&amp;IF(AND(Rules!$D$319&lt;&gt;"",COUNTIF(Cat_Name,Rules!$D$319)=0),"Category is not on the Categories sheet - rows will fall to Review Required. ","")&amp;IF(Rules!$F$319="Broad","Broad scope - deliberately forces Review Required. ","")&amp;IF(Rules!$G$319&lt;&gt;"Yes","Rule is switched OFF. ","")&amp;IF(AND(Rules!$C$319&lt;&gt;"",Rules!$D$319=""),"Keyword with no category. ","")))</f>
        <v>Broad scope - deliberately forces Review Required.</v>
      </c>
    </row>
    <row r="319" spans="2:8" x14ac:dyDescent="0.25">
      <c r="B319" s="73">
        <f>IF(Rules!$C$320="","",Rules!$B$320)</f>
        <v>900</v>
      </c>
      <c r="C319" s="143" t="str">
        <f>IF(Rules!$C$320="","",Rules!$C$320)</f>
        <v>DINER</v>
      </c>
      <c r="D319" s="143" t="str">
        <f>IF(Rules!$C$320="","",Rules!$D$320)</f>
        <v>Review Required - Mixed-Use Vendor</v>
      </c>
      <c r="E319" s="73" t="str">
        <f>IF(Rules!$C$320="","",Rules!$E$320)</f>
        <v>Any</v>
      </c>
      <c r="F319" s="73" t="str">
        <f>IF(Rules!$C$320="","",Rules!$G$320)</f>
        <v>Yes</v>
      </c>
      <c r="G319" s="144">
        <v>320</v>
      </c>
      <c r="H319" s="145" t="str">
        <f>IF(Rules!$C$320="","",TRIM(IF(COUNTIFS(Rules_Key,Rules!$C$320,Rules_Dir,Rules!$E$320)&gt;1,"Duplicate keyword+direction. ","")&amp;IF(LEN(Rules!$C$320)&lt;5,"Keyword under 5 characters - matches too much. ","")&amp;IF(AND(Rules!$D$320&lt;&gt;"",COUNTIF(Cat_Name,Rules!$D$320)=0),"Category is not on the Categories sheet - rows will fall to Review Required. ","")&amp;IF(Rules!$F$320="Broad","Broad scope - deliberately forces Review Required. ","")&amp;IF(Rules!$G$320&lt;&gt;"Yes","Rule is switched OFF. ","")&amp;IF(AND(Rules!$C$320&lt;&gt;"",Rules!$D$320=""),"Keyword with no category. ","")))</f>
        <v>Broad scope - deliberately forces Review Required.</v>
      </c>
    </row>
    <row r="320" spans="2:8" ht="22.5" x14ac:dyDescent="0.25">
      <c r="B320" s="75">
        <f>IF(Rules!$C$321="","",Rules!$B$321)</f>
        <v>900</v>
      </c>
      <c r="C320" s="146" t="str">
        <f>IF(Rules!$C$321="","",Rules!$C$321)</f>
        <v>ASSN</v>
      </c>
      <c r="D320" s="146" t="str">
        <f>IF(Rules!$C$321="","",Rules!$D$321)</f>
        <v>Review Required - Mixed-Use Vendor</v>
      </c>
      <c r="E320" s="75" t="str">
        <f>IF(Rules!$C$321="","",Rules!$E$321)</f>
        <v>Any</v>
      </c>
      <c r="F320" s="75" t="str">
        <f>IF(Rules!$C$321="","",Rules!$G$321)</f>
        <v>Yes</v>
      </c>
      <c r="G320" s="147">
        <v>321</v>
      </c>
      <c r="H320" s="148" t="str">
        <f>IF(Rules!$C$321="","",TRIM(IF(COUNTIFS(Rules_Key,Rules!$C$321,Rules_Dir,Rules!$E$321)&gt;1,"Duplicate keyword+direction. ","")&amp;IF(LEN(Rules!$C$321)&lt;5,"Keyword under 5 characters - matches too much. ","")&amp;IF(AND(Rules!$D$321&lt;&gt;"",COUNTIF(Cat_Name,Rules!$D$321)=0),"Category is not on the Categories sheet - rows will fall to Review Required. ","")&amp;IF(Rules!$F$321="Broad","Broad scope - deliberately forces Review Required. ","")&amp;IF(Rules!$G$321&lt;&gt;"Yes","Rule is switched OFF. ","")&amp;IF(AND(Rules!$C$321&lt;&gt;"",Rules!$D$321=""),"Keyword with no category. ","")))</f>
        <v>Keyword under 5 characters - matches too much. Broad scope - deliberately forces Review Required.</v>
      </c>
    </row>
    <row r="321" spans="2:8" x14ac:dyDescent="0.25">
      <c r="B321" s="73">
        <f>IF(Rules!$C$322="","",Rules!$B$322)</f>
        <v>900</v>
      </c>
      <c r="C321" s="143" t="str">
        <f>IF(Rules!$C$322="","",Rules!$C$322)</f>
        <v>ASSOCIATION</v>
      </c>
      <c r="D321" s="143" t="str">
        <f>IF(Rules!$C$322="","",Rules!$D$322)</f>
        <v>Review Required - Mixed-Use Vendor</v>
      </c>
      <c r="E321" s="73" t="str">
        <f>IF(Rules!$C$322="","",Rules!$E$322)</f>
        <v>Any</v>
      </c>
      <c r="F321" s="73" t="str">
        <f>IF(Rules!$C$322="","",Rules!$G$322)</f>
        <v>Yes</v>
      </c>
      <c r="G321" s="144">
        <v>322</v>
      </c>
      <c r="H321" s="145" t="str">
        <f>IF(Rules!$C$322="","",TRIM(IF(COUNTIFS(Rules_Key,Rules!$C$322,Rules_Dir,Rules!$E$322)&gt;1,"Duplicate keyword+direction. ","")&amp;IF(LEN(Rules!$C$322)&lt;5,"Keyword under 5 characters - matches too much. ","")&amp;IF(AND(Rules!$D$322&lt;&gt;"",COUNTIF(Cat_Name,Rules!$D$322)=0),"Category is not on the Categories sheet - rows will fall to Review Required. ","")&amp;IF(Rules!$F$322="Broad","Broad scope - deliberately forces Review Required. ","")&amp;IF(Rules!$G$322&lt;&gt;"Yes","Rule is switched OFF. ","")&amp;IF(AND(Rules!$C$322&lt;&gt;"",Rules!$D$322=""),"Keyword with no category. ","")))</f>
        <v>Broad scope - deliberately forces Review Required.</v>
      </c>
    </row>
    <row r="322" spans="2:8" x14ac:dyDescent="0.25">
      <c r="B322" s="75" t="str">
        <f>IF(Rules!$C$323="","",Rules!$B$323)</f>
        <v/>
      </c>
      <c r="C322" s="146" t="str">
        <f>IF(Rules!$C$323="","",Rules!$C$323)</f>
        <v/>
      </c>
      <c r="D322" s="146" t="str">
        <f>IF(Rules!$C$323="","",Rules!$D$323)</f>
        <v/>
      </c>
      <c r="E322" s="75" t="str">
        <f>IF(Rules!$C$323="","",Rules!$E$323)</f>
        <v/>
      </c>
      <c r="F322" s="75" t="str">
        <f>IF(Rules!$C$323="","",Rules!$G$323)</f>
        <v/>
      </c>
      <c r="G322" s="147">
        <v>323</v>
      </c>
      <c r="H322" s="148" t="str">
        <f>IF(Rules!$C$323="","",TRIM(IF(COUNTIFS(Rules_Key,Rules!$C$323,Rules_Dir,Rules!$E$323)&gt;1,"Duplicate keyword+direction. ","")&amp;IF(LEN(Rules!$C$323)&lt;5,"Keyword under 5 characters - matches too much. ","")&amp;IF(AND(Rules!$D$323&lt;&gt;"",COUNTIF(Cat_Name,Rules!$D$323)=0),"Category is not on the Categories sheet - rows will fall to Review Required. ","")&amp;IF(Rules!$F$323="Broad","Broad scope - deliberately forces Review Required. ","")&amp;IF(Rules!$G$323&lt;&gt;"Yes","Rule is switched OFF. ","")&amp;IF(AND(Rules!$C$323&lt;&gt;"",Rules!$D$323=""),"Keyword with no category. ","")))</f>
        <v/>
      </c>
    </row>
    <row r="323" spans="2:8" x14ac:dyDescent="0.25">
      <c r="B323" s="73" t="str">
        <f>IF(Rules!$C$324="","",Rules!$B$324)</f>
        <v/>
      </c>
      <c r="C323" s="143" t="str">
        <f>IF(Rules!$C$324="","",Rules!$C$324)</f>
        <v/>
      </c>
      <c r="D323" s="143" t="str">
        <f>IF(Rules!$C$324="","",Rules!$D$324)</f>
        <v/>
      </c>
      <c r="E323" s="73" t="str">
        <f>IF(Rules!$C$324="","",Rules!$E$324)</f>
        <v/>
      </c>
      <c r="F323" s="73" t="str">
        <f>IF(Rules!$C$324="","",Rules!$G$324)</f>
        <v/>
      </c>
      <c r="G323" s="144">
        <v>324</v>
      </c>
      <c r="H323" s="145" t="str">
        <f>IF(Rules!$C$324="","",TRIM(IF(COUNTIFS(Rules_Key,Rules!$C$324,Rules_Dir,Rules!$E$324)&gt;1,"Duplicate keyword+direction. ","")&amp;IF(LEN(Rules!$C$324)&lt;5,"Keyword under 5 characters - matches too much. ","")&amp;IF(AND(Rules!$D$324&lt;&gt;"",COUNTIF(Cat_Name,Rules!$D$324)=0),"Category is not on the Categories sheet - rows will fall to Review Required. ","")&amp;IF(Rules!$F$324="Broad","Broad scope - deliberately forces Review Required. ","")&amp;IF(Rules!$G$324&lt;&gt;"Yes","Rule is switched OFF. ","")&amp;IF(AND(Rules!$C$324&lt;&gt;"",Rules!$D$324=""),"Keyword with no category. ","")))</f>
        <v/>
      </c>
    </row>
    <row r="324" spans="2:8" x14ac:dyDescent="0.25">
      <c r="B324" s="75" t="str">
        <f>IF(Rules!$C$325="","",Rules!$B$325)</f>
        <v/>
      </c>
      <c r="C324" s="146" t="str">
        <f>IF(Rules!$C$325="","",Rules!$C$325)</f>
        <v/>
      </c>
      <c r="D324" s="146" t="str">
        <f>IF(Rules!$C$325="","",Rules!$D$325)</f>
        <v/>
      </c>
      <c r="E324" s="75" t="str">
        <f>IF(Rules!$C$325="","",Rules!$E$325)</f>
        <v/>
      </c>
      <c r="F324" s="75" t="str">
        <f>IF(Rules!$C$325="","",Rules!$G$325)</f>
        <v/>
      </c>
      <c r="G324" s="147">
        <v>325</v>
      </c>
      <c r="H324" s="148" t="str">
        <f>IF(Rules!$C$325="","",TRIM(IF(COUNTIFS(Rules_Key,Rules!$C$325,Rules_Dir,Rules!$E$325)&gt;1,"Duplicate keyword+direction. ","")&amp;IF(LEN(Rules!$C$325)&lt;5,"Keyword under 5 characters - matches too much. ","")&amp;IF(AND(Rules!$D$325&lt;&gt;"",COUNTIF(Cat_Name,Rules!$D$325)=0),"Category is not on the Categories sheet - rows will fall to Review Required. ","")&amp;IF(Rules!$F$325="Broad","Broad scope - deliberately forces Review Required. ","")&amp;IF(Rules!$G$325&lt;&gt;"Yes","Rule is switched OFF. ","")&amp;IF(AND(Rules!$C$325&lt;&gt;"",Rules!$D$325=""),"Keyword with no category. ","")))</f>
        <v/>
      </c>
    </row>
    <row r="325" spans="2:8" x14ac:dyDescent="0.25">
      <c r="B325" s="73" t="str">
        <f>IF(Rules!$C$326="","",Rules!$B$326)</f>
        <v/>
      </c>
      <c r="C325" s="143" t="str">
        <f>IF(Rules!$C$326="","",Rules!$C$326)</f>
        <v/>
      </c>
      <c r="D325" s="143" t="str">
        <f>IF(Rules!$C$326="","",Rules!$D$326)</f>
        <v/>
      </c>
      <c r="E325" s="73" t="str">
        <f>IF(Rules!$C$326="","",Rules!$E$326)</f>
        <v/>
      </c>
      <c r="F325" s="73" t="str">
        <f>IF(Rules!$C$326="","",Rules!$G$326)</f>
        <v/>
      </c>
      <c r="G325" s="144">
        <v>326</v>
      </c>
      <c r="H325" s="145" t="str">
        <f>IF(Rules!$C$326="","",TRIM(IF(COUNTIFS(Rules_Key,Rules!$C$326,Rules_Dir,Rules!$E$326)&gt;1,"Duplicate keyword+direction. ","")&amp;IF(LEN(Rules!$C$326)&lt;5,"Keyword under 5 characters - matches too much. ","")&amp;IF(AND(Rules!$D$326&lt;&gt;"",COUNTIF(Cat_Name,Rules!$D$326)=0),"Category is not on the Categories sheet - rows will fall to Review Required. ","")&amp;IF(Rules!$F$326="Broad","Broad scope - deliberately forces Review Required. ","")&amp;IF(Rules!$G$326&lt;&gt;"Yes","Rule is switched OFF. ","")&amp;IF(AND(Rules!$C$326&lt;&gt;"",Rules!$D$326=""),"Keyword with no category. ","")))</f>
        <v/>
      </c>
    </row>
    <row r="326" spans="2:8" x14ac:dyDescent="0.25">
      <c r="B326" s="75" t="str">
        <f>IF(Rules!$C$327="","",Rules!$B$327)</f>
        <v/>
      </c>
      <c r="C326" s="146" t="str">
        <f>IF(Rules!$C$327="","",Rules!$C$327)</f>
        <v/>
      </c>
      <c r="D326" s="146" t="str">
        <f>IF(Rules!$C$327="","",Rules!$D$327)</f>
        <v/>
      </c>
      <c r="E326" s="75" t="str">
        <f>IF(Rules!$C$327="","",Rules!$E$327)</f>
        <v/>
      </c>
      <c r="F326" s="75" t="str">
        <f>IF(Rules!$C$327="","",Rules!$G$327)</f>
        <v/>
      </c>
      <c r="G326" s="147">
        <v>327</v>
      </c>
      <c r="H326" s="148" t="str">
        <f>IF(Rules!$C$327="","",TRIM(IF(COUNTIFS(Rules_Key,Rules!$C$327,Rules_Dir,Rules!$E$327)&gt;1,"Duplicate keyword+direction. ","")&amp;IF(LEN(Rules!$C$327)&lt;5,"Keyword under 5 characters - matches too much. ","")&amp;IF(AND(Rules!$D$327&lt;&gt;"",COUNTIF(Cat_Name,Rules!$D$327)=0),"Category is not on the Categories sheet - rows will fall to Review Required. ","")&amp;IF(Rules!$F$327="Broad","Broad scope - deliberately forces Review Required. ","")&amp;IF(Rules!$G$327&lt;&gt;"Yes","Rule is switched OFF. ","")&amp;IF(AND(Rules!$C$327&lt;&gt;"",Rules!$D$327=""),"Keyword with no category. ","")))</f>
        <v/>
      </c>
    </row>
    <row r="327" spans="2:8" x14ac:dyDescent="0.25">
      <c r="B327" s="73" t="str">
        <f>IF(Rules!$C$328="","",Rules!$B$328)</f>
        <v/>
      </c>
      <c r="C327" s="143" t="str">
        <f>IF(Rules!$C$328="","",Rules!$C$328)</f>
        <v/>
      </c>
      <c r="D327" s="143" t="str">
        <f>IF(Rules!$C$328="","",Rules!$D$328)</f>
        <v/>
      </c>
      <c r="E327" s="73" t="str">
        <f>IF(Rules!$C$328="","",Rules!$E$328)</f>
        <v/>
      </c>
      <c r="F327" s="73" t="str">
        <f>IF(Rules!$C$328="","",Rules!$G$328)</f>
        <v/>
      </c>
      <c r="G327" s="144">
        <v>328</v>
      </c>
      <c r="H327" s="145" t="str">
        <f>IF(Rules!$C$328="","",TRIM(IF(COUNTIFS(Rules_Key,Rules!$C$328,Rules_Dir,Rules!$E$328)&gt;1,"Duplicate keyword+direction. ","")&amp;IF(LEN(Rules!$C$328)&lt;5,"Keyword under 5 characters - matches too much. ","")&amp;IF(AND(Rules!$D$328&lt;&gt;"",COUNTIF(Cat_Name,Rules!$D$328)=0),"Category is not on the Categories sheet - rows will fall to Review Required. ","")&amp;IF(Rules!$F$328="Broad","Broad scope - deliberately forces Review Required. ","")&amp;IF(Rules!$G$328&lt;&gt;"Yes","Rule is switched OFF. ","")&amp;IF(AND(Rules!$C$328&lt;&gt;"",Rules!$D$328=""),"Keyword with no category. ","")))</f>
        <v/>
      </c>
    </row>
    <row r="328" spans="2:8" x14ac:dyDescent="0.25">
      <c r="B328" s="75" t="str">
        <f>IF(Rules!$C$329="","",Rules!$B$329)</f>
        <v/>
      </c>
      <c r="C328" s="146" t="str">
        <f>IF(Rules!$C$329="","",Rules!$C$329)</f>
        <v/>
      </c>
      <c r="D328" s="146" t="str">
        <f>IF(Rules!$C$329="","",Rules!$D$329)</f>
        <v/>
      </c>
      <c r="E328" s="75" t="str">
        <f>IF(Rules!$C$329="","",Rules!$E$329)</f>
        <v/>
      </c>
      <c r="F328" s="75" t="str">
        <f>IF(Rules!$C$329="","",Rules!$G$329)</f>
        <v/>
      </c>
      <c r="G328" s="147">
        <v>329</v>
      </c>
      <c r="H328" s="148" t="str">
        <f>IF(Rules!$C$329="","",TRIM(IF(COUNTIFS(Rules_Key,Rules!$C$329,Rules_Dir,Rules!$E$329)&gt;1,"Duplicate keyword+direction. ","")&amp;IF(LEN(Rules!$C$329)&lt;5,"Keyword under 5 characters - matches too much. ","")&amp;IF(AND(Rules!$D$329&lt;&gt;"",COUNTIF(Cat_Name,Rules!$D$329)=0),"Category is not on the Categories sheet - rows will fall to Review Required. ","")&amp;IF(Rules!$F$329="Broad","Broad scope - deliberately forces Review Required. ","")&amp;IF(Rules!$G$329&lt;&gt;"Yes","Rule is switched OFF. ","")&amp;IF(AND(Rules!$C$329&lt;&gt;"",Rules!$D$329=""),"Keyword with no category. ","")))</f>
        <v/>
      </c>
    </row>
    <row r="329" spans="2:8" x14ac:dyDescent="0.25">
      <c r="B329" s="73" t="str">
        <f>IF(Rules!$C$330="","",Rules!$B$330)</f>
        <v/>
      </c>
      <c r="C329" s="143" t="str">
        <f>IF(Rules!$C$330="","",Rules!$C$330)</f>
        <v/>
      </c>
      <c r="D329" s="143" t="str">
        <f>IF(Rules!$C$330="","",Rules!$D$330)</f>
        <v/>
      </c>
      <c r="E329" s="73" t="str">
        <f>IF(Rules!$C$330="","",Rules!$E$330)</f>
        <v/>
      </c>
      <c r="F329" s="73" t="str">
        <f>IF(Rules!$C$330="","",Rules!$G$330)</f>
        <v/>
      </c>
      <c r="G329" s="144">
        <v>330</v>
      </c>
      <c r="H329" s="145" t="str">
        <f>IF(Rules!$C$330="","",TRIM(IF(COUNTIFS(Rules_Key,Rules!$C$330,Rules_Dir,Rules!$E$330)&gt;1,"Duplicate keyword+direction. ","")&amp;IF(LEN(Rules!$C$330)&lt;5,"Keyword under 5 characters - matches too much. ","")&amp;IF(AND(Rules!$D$330&lt;&gt;"",COUNTIF(Cat_Name,Rules!$D$330)=0),"Category is not on the Categories sheet - rows will fall to Review Required. ","")&amp;IF(Rules!$F$330="Broad","Broad scope - deliberately forces Review Required. ","")&amp;IF(Rules!$G$330&lt;&gt;"Yes","Rule is switched OFF. ","")&amp;IF(AND(Rules!$C$330&lt;&gt;"",Rules!$D$330=""),"Keyword with no category. ","")))</f>
        <v/>
      </c>
    </row>
    <row r="330" spans="2:8" x14ac:dyDescent="0.25">
      <c r="B330" s="75" t="str">
        <f>IF(Rules!$C$331="","",Rules!$B$331)</f>
        <v/>
      </c>
      <c r="C330" s="146" t="str">
        <f>IF(Rules!$C$331="","",Rules!$C$331)</f>
        <v/>
      </c>
      <c r="D330" s="146" t="str">
        <f>IF(Rules!$C$331="","",Rules!$D$331)</f>
        <v/>
      </c>
      <c r="E330" s="75" t="str">
        <f>IF(Rules!$C$331="","",Rules!$E$331)</f>
        <v/>
      </c>
      <c r="F330" s="75" t="str">
        <f>IF(Rules!$C$331="","",Rules!$G$331)</f>
        <v/>
      </c>
      <c r="G330" s="147">
        <v>331</v>
      </c>
      <c r="H330" s="148" t="str">
        <f>IF(Rules!$C$331="","",TRIM(IF(COUNTIFS(Rules_Key,Rules!$C$331,Rules_Dir,Rules!$E$331)&gt;1,"Duplicate keyword+direction. ","")&amp;IF(LEN(Rules!$C$331)&lt;5,"Keyword under 5 characters - matches too much. ","")&amp;IF(AND(Rules!$D$331&lt;&gt;"",COUNTIF(Cat_Name,Rules!$D$331)=0),"Category is not on the Categories sheet - rows will fall to Review Required. ","")&amp;IF(Rules!$F$331="Broad","Broad scope - deliberately forces Review Required. ","")&amp;IF(Rules!$G$331&lt;&gt;"Yes","Rule is switched OFF. ","")&amp;IF(AND(Rules!$C$331&lt;&gt;"",Rules!$D$331=""),"Keyword with no category. ","")))</f>
        <v/>
      </c>
    </row>
    <row r="331" spans="2:8" x14ac:dyDescent="0.25">
      <c r="B331" s="73" t="str">
        <f>IF(Rules!$C$332="","",Rules!$B$332)</f>
        <v/>
      </c>
      <c r="C331" s="143" t="str">
        <f>IF(Rules!$C$332="","",Rules!$C$332)</f>
        <v/>
      </c>
      <c r="D331" s="143" t="str">
        <f>IF(Rules!$C$332="","",Rules!$D$332)</f>
        <v/>
      </c>
      <c r="E331" s="73" t="str">
        <f>IF(Rules!$C$332="","",Rules!$E$332)</f>
        <v/>
      </c>
      <c r="F331" s="73" t="str">
        <f>IF(Rules!$C$332="","",Rules!$G$332)</f>
        <v/>
      </c>
      <c r="G331" s="144">
        <v>332</v>
      </c>
      <c r="H331" s="145" t="str">
        <f>IF(Rules!$C$332="","",TRIM(IF(COUNTIFS(Rules_Key,Rules!$C$332,Rules_Dir,Rules!$E$332)&gt;1,"Duplicate keyword+direction. ","")&amp;IF(LEN(Rules!$C$332)&lt;5,"Keyword under 5 characters - matches too much. ","")&amp;IF(AND(Rules!$D$332&lt;&gt;"",COUNTIF(Cat_Name,Rules!$D$332)=0),"Category is not on the Categories sheet - rows will fall to Review Required. ","")&amp;IF(Rules!$F$332="Broad","Broad scope - deliberately forces Review Required. ","")&amp;IF(Rules!$G$332&lt;&gt;"Yes","Rule is switched OFF. ","")&amp;IF(AND(Rules!$C$332&lt;&gt;"",Rules!$D$332=""),"Keyword with no category. ","")))</f>
        <v/>
      </c>
    </row>
    <row r="332" spans="2:8" x14ac:dyDescent="0.25">
      <c r="B332" s="75" t="str">
        <f>IF(Rules!$C$333="","",Rules!$B$333)</f>
        <v/>
      </c>
      <c r="C332" s="146" t="str">
        <f>IF(Rules!$C$333="","",Rules!$C$333)</f>
        <v/>
      </c>
      <c r="D332" s="146" t="str">
        <f>IF(Rules!$C$333="","",Rules!$D$333)</f>
        <v/>
      </c>
      <c r="E332" s="75" t="str">
        <f>IF(Rules!$C$333="","",Rules!$E$333)</f>
        <v/>
      </c>
      <c r="F332" s="75" t="str">
        <f>IF(Rules!$C$333="","",Rules!$G$333)</f>
        <v/>
      </c>
      <c r="G332" s="147">
        <v>333</v>
      </c>
      <c r="H332" s="148" t="str">
        <f>IF(Rules!$C$333="","",TRIM(IF(COUNTIFS(Rules_Key,Rules!$C$333,Rules_Dir,Rules!$E$333)&gt;1,"Duplicate keyword+direction. ","")&amp;IF(LEN(Rules!$C$333)&lt;5,"Keyword under 5 characters - matches too much. ","")&amp;IF(AND(Rules!$D$333&lt;&gt;"",COUNTIF(Cat_Name,Rules!$D$333)=0),"Category is not on the Categories sheet - rows will fall to Review Required. ","")&amp;IF(Rules!$F$333="Broad","Broad scope - deliberately forces Review Required. ","")&amp;IF(Rules!$G$333&lt;&gt;"Yes","Rule is switched OFF. ","")&amp;IF(AND(Rules!$C$333&lt;&gt;"",Rules!$D$333=""),"Keyword with no category. ","")))</f>
        <v/>
      </c>
    </row>
    <row r="333" spans="2:8" x14ac:dyDescent="0.25">
      <c r="B333" s="73" t="str">
        <f>IF(Rules!$C$334="","",Rules!$B$334)</f>
        <v/>
      </c>
      <c r="C333" s="143" t="str">
        <f>IF(Rules!$C$334="","",Rules!$C$334)</f>
        <v/>
      </c>
      <c r="D333" s="143" t="str">
        <f>IF(Rules!$C$334="","",Rules!$D$334)</f>
        <v/>
      </c>
      <c r="E333" s="73" t="str">
        <f>IF(Rules!$C$334="","",Rules!$E$334)</f>
        <v/>
      </c>
      <c r="F333" s="73" t="str">
        <f>IF(Rules!$C$334="","",Rules!$G$334)</f>
        <v/>
      </c>
      <c r="G333" s="144">
        <v>334</v>
      </c>
      <c r="H333" s="145" t="str">
        <f>IF(Rules!$C$334="","",TRIM(IF(COUNTIFS(Rules_Key,Rules!$C$334,Rules_Dir,Rules!$E$334)&gt;1,"Duplicate keyword+direction. ","")&amp;IF(LEN(Rules!$C$334)&lt;5,"Keyword under 5 characters - matches too much. ","")&amp;IF(AND(Rules!$D$334&lt;&gt;"",COUNTIF(Cat_Name,Rules!$D$334)=0),"Category is not on the Categories sheet - rows will fall to Review Required. ","")&amp;IF(Rules!$F$334="Broad","Broad scope - deliberately forces Review Required. ","")&amp;IF(Rules!$G$334&lt;&gt;"Yes","Rule is switched OFF. ","")&amp;IF(AND(Rules!$C$334&lt;&gt;"",Rules!$D$334=""),"Keyword with no category. ","")))</f>
        <v/>
      </c>
    </row>
    <row r="334" spans="2:8" x14ac:dyDescent="0.25">
      <c r="B334" s="75" t="str">
        <f>IF(Rules!$C$335="","",Rules!$B$335)</f>
        <v/>
      </c>
      <c r="C334" s="146" t="str">
        <f>IF(Rules!$C$335="","",Rules!$C$335)</f>
        <v/>
      </c>
      <c r="D334" s="146" t="str">
        <f>IF(Rules!$C$335="","",Rules!$D$335)</f>
        <v/>
      </c>
      <c r="E334" s="75" t="str">
        <f>IF(Rules!$C$335="","",Rules!$E$335)</f>
        <v/>
      </c>
      <c r="F334" s="75" t="str">
        <f>IF(Rules!$C$335="","",Rules!$G$335)</f>
        <v/>
      </c>
      <c r="G334" s="147">
        <v>335</v>
      </c>
      <c r="H334" s="148" t="str">
        <f>IF(Rules!$C$335="","",TRIM(IF(COUNTIFS(Rules_Key,Rules!$C$335,Rules_Dir,Rules!$E$335)&gt;1,"Duplicate keyword+direction. ","")&amp;IF(LEN(Rules!$C$335)&lt;5,"Keyword under 5 characters - matches too much. ","")&amp;IF(AND(Rules!$D$335&lt;&gt;"",COUNTIF(Cat_Name,Rules!$D$335)=0),"Category is not on the Categories sheet - rows will fall to Review Required. ","")&amp;IF(Rules!$F$335="Broad","Broad scope - deliberately forces Review Required. ","")&amp;IF(Rules!$G$335&lt;&gt;"Yes","Rule is switched OFF. ","")&amp;IF(AND(Rules!$C$335&lt;&gt;"",Rules!$D$335=""),"Keyword with no category. ","")))</f>
        <v/>
      </c>
    </row>
    <row r="335" spans="2:8" x14ac:dyDescent="0.25">
      <c r="B335" s="73" t="str">
        <f>IF(Rules!$C$336="","",Rules!$B$336)</f>
        <v/>
      </c>
      <c r="C335" s="143" t="str">
        <f>IF(Rules!$C$336="","",Rules!$C$336)</f>
        <v/>
      </c>
      <c r="D335" s="143" t="str">
        <f>IF(Rules!$C$336="","",Rules!$D$336)</f>
        <v/>
      </c>
      <c r="E335" s="73" t="str">
        <f>IF(Rules!$C$336="","",Rules!$E$336)</f>
        <v/>
      </c>
      <c r="F335" s="73" t="str">
        <f>IF(Rules!$C$336="","",Rules!$G$336)</f>
        <v/>
      </c>
      <c r="G335" s="144">
        <v>336</v>
      </c>
      <c r="H335" s="145" t="str">
        <f>IF(Rules!$C$336="","",TRIM(IF(COUNTIFS(Rules_Key,Rules!$C$336,Rules_Dir,Rules!$E$336)&gt;1,"Duplicate keyword+direction. ","")&amp;IF(LEN(Rules!$C$336)&lt;5,"Keyword under 5 characters - matches too much. ","")&amp;IF(AND(Rules!$D$336&lt;&gt;"",COUNTIF(Cat_Name,Rules!$D$336)=0),"Category is not on the Categories sheet - rows will fall to Review Required. ","")&amp;IF(Rules!$F$336="Broad","Broad scope - deliberately forces Review Required. ","")&amp;IF(Rules!$G$336&lt;&gt;"Yes","Rule is switched OFF. ","")&amp;IF(AND(Rules!$C$336&lt;&gt;"",Rules!$D$336=""),"Keyword with no category. ","")))</f>
        <v/>
      </c>
    </row>
    <row r="336" spans="2:8" x14ac:dyDescent="0.25">
      <c r="B336" s="75" t="str">
        <f>IF(Rules!$C$337="","",Rules!$B$337)</f>
        <v/>
      </c>
      <c r="C336" s="146" t="str">
        <f>IF(Rules!$C$337="","",Rules!$C$337)</f>
        <v/>
      </c>
      <c r="D336" s="146" t="str">
        <f>IF(Rules!$C$337="","",Rules!$D$337)</f>
        <v/>
      </c>
      <c r="E336" s="75" t="str">
        <f>IF(Rules!$C$337="","",Rules!$E$337)</f>
        <v/>
      </c>
      <c r="F336" s="75" t="str">
        <f>IF(Rules!$C$337="","",Rules!$G$337)</f>
        <v/>
      </c>
      <c r="G336" s="147">
        <v>337</v>
      </c>
      <c r="H336" s="148" t="str">
        <f>IF(Rules!$C$337="","",TRIM(IF(COUNTIFS(Rules_Key,Rules!$C$337,Rules_Dir,Rules!$E$337)&gt;1,"Duplicate keyword+direction. ","")&amp;IF(LEN(Rules!$C$337)&lt;5,"Keyword under 5 characters - matches too much. ","")&amp;IF(AND(Rules!$D$337&lt;&gt;"",COUNTIF(Cat_Name,Rules!$D$337)=0),"Category is not on the Categories sheet - rows will fall to Review Required. ","")&amp;IF(Rules!$F$337="Broad","Broad scope - deliberately forces Review Required. ","")&amp;IF(Rules!$G$337&lt;&gt;"Yes","Rule is switched OFF. ","")&amp;IF(AND(Rules!$C$337&lt;&gt;"",Rules!$D$337=""),"Keyword with no category. ","")))</f>
        <v/>
      </c>
    </row>
    <row r="337" spans="2:8" x14ac:dyDescent="0.25">
      <c r="B337" s="73" t="str">
        <f>IF(Rules!$C$338="","",Rules!$B$338)</f>
        <v/>
      </c>
      <c r="C337" s="143" t="str">
        <f>IF(Rules!$C$338="","",Rules!$C$338)</f>
        <v/>
      </c>
      <c r="D337" s="143" t="str">
        <f>IF(Rules!$C$338="","",Rules!$D$338)</f>
        <v/>
      </c>
      <c r="E337" s="73" t="str">
        <f>IF(Rules!$C$338="","",Rules!$E$338)</f>
        <v/>
      </c>
      <c r="F337" s="73" t="str">
        <f>IF(Rules!$C$338="","",Rules!$G$338)</f>
        <v/>
      </c>
      <c r="G337" s="144">
        <v>338</v>
      </c>
      <c r="H337" s="145" t="str">
        <f>IF(Rules!$C$338="","",TRIM(IF(COUNTIFS(Rules_Key,Rules!$C$338,Rules_Dir,Rules!$E$338)&gt;1,"Duplicate keyword+direction. ","")&amp;IF(LEN(Rules!$C$338)&lt;5,"Keyword under 5 characters - matches too much. ","")&amp;IF(AND(Rules!$D$338&lt;&gt;"",COUNTIF(Cat_Name,Rules!$D$338)=0),"Category is not on the Categories sheet - rows will fall to Review Required. ","")&amp;IF(Rules!$F$338="Broad","Broad scope - deliberately forces Review Required. ","")&amp;IF(Rules!$G$338&lt;&gt;"Yes","Rule is switched OFF. ","")&amp;IF(AND(Rules!$C$338&lt;&gt;"",Rules!$D$338=""),"Keyword with no category. ","")))</f>
        <v/>
      </c>
    </row>
    <row r="338" spans="2:8" x14ac:dyDescent="0.25">
      <c r="B338" s="75" t="str">
        <f>IF(Rules!$C$339="","",Rules!$B$339)</f>
        <v/>
      </c>
      <c r="C338" s="146" t="str">
        <f>IF(Rules!$C$339="","",Rules!$C$339)</f>
        <v/>
      </c>
      <c r="D338" s="146" t="str">
        <f>IF(Rules!$C$339="","",Rules!$D$339)</f>
        <v/>
      </c>
      <c r="E338" s="75" t="str">
        <f>IF(Rules!$C$339="","",Rules!$E$339)</f>
        <v/>
      </c>
      <c r="F338" s="75" t="str">
        <f>IF(Rules!$C$339="","",Rules!$G$339)</f>
        <v/>
      </c>
      <c r="G338" s="147">
        <v>339</v>
      </c>
      <c r="H338" s="148" t="str">
        <f>IF(Rules!$C$339="","",TRIM(IF(COUNTIFS(Rules_Key,Rules!$C$339,Rules_Dir,Rules!$E$339)&gt;1,"Duplicate keyword+direction. ","")&amp;IF(LEN(Rules!$C$339)&lt;5,"Keyword under 5 characters - matches too much. ","")&amp;IF(AND(Rules!$D$339&lt;&gt;"",COUNTIF(Cat_Name,Rules!$D$339)=0),"Category is not on the Categories sheet - rows will fall to Review Required. ","")&amp;IF(Rules!$F$339="Broad","Broad scope - deliberately forces Review Required. ","")&amp;IF(Rules!$G$339&lt;&gt;"Yes","Rule is switched OFF. ","")&amp;IF(AND(Rules!$C$339&lt;&gt;"",Rules!$D$339=""),"Keyword with no category. ","")))</f>
        <v/>
      </c>
    </row>
    <row r="339" spans="2:8" x14ac:dyDescent="0.25">
      <c r="B339" s="73" t="str">
        <f>IF(Rules!$C$340="","",Rules!$B$340)</f>
        <v/>
      </c>
      <c r="C339" s="143" t="str">
        <f>IF(Rules!$C$340="","",Rules!$C$340)</f>
        <v/>
      </c>
      <c r="D339" s="143" t="str">
        <f>IF(Rules!$C$340="","",Rules!$D$340)</f>
        <v/>
      </c>
      <c r="E339" s="73" t="str">
        <f>IF(Rules!$C$340="","",Rules!$E$340)</f>
        <v/>
      </c>
      <c r="F339" s="73" t="str">
        <f>IF(Rules!$C$340="","",Rules!$G$340)</f>
        <v/>
      </c>
      <c r="G339" s="144">
        <v>340</v>
      </c>
      <c r="H339" s="145" t="str">
        <f>IF(Rules!$C$340="","",TRIM(IF(COUNTIFS(Rules_Key,Rules!$C$340,Rules_Dir,Rules!$E$340)&gt;1,"Duplicate keyword+direction. ","")&amp;IF(LEN(Rules!$C$340)&lt;5,"Keyword under 5 characters - matches too much. ","")&amp;IF(AND(Rules!$D$340&lt;&gt;"",COUNTIF(Cat_Name,Rules!$D$340)=0),"Category is not on the Categories sheet - rows will fall to Review Required. ","")&amp;IF(Rules!$F$340="Broad","Broad scope - deliberately forces Review Required. ","")&amp;IF(Rules!$G$340&lt;&gt;"Yes","Rule is switched OFF. ","")&amp;IF(AND(Rules!$C$340&lt;&gt;"",Rules!$D$340=""),"Keyword with no category. ","")))</f>
        <v/>
      </c>
    </row>
    <row r="340" spans="2:8" x14ac:dyDescent="0.25">
      <c r="B340" s="75" t="str">
        <f>IF(Rules!$C$341="","",Rules!$B$341)</f>
        <v/>
      </c>
      <c r="C340" s="146" t="str">
        <f>IF(Rules!$C$341="","",Rules!$C$341)</f>
        <v/>
      </c>
      <c r="D340" s="146" t="str">
        <f>IF(Rules!$C$341="","",Rules!$D$341)</f>
        <v/>
      </c>
      <c r="E340" s="75" t="str">
        <f>IF(Rules!$C$341="","",Rules!$E$341)</f>
        <v/>
      </c>
      <c r="F340" s="75" t="str">
        <f>IF(Rules!$C$341="","",Rules!$G$341)</f>
        <v/>
      </c>
      <c r="G340" s="147">
        <v>341</v>
      </c>
      <c r="H340" s="148" t="str">
        <f>IF(Rules!$C$341="","",TRIM(IF(COUNTIFS(Rules_Key,Rules!$C$341,Rules_Dir,Rules!$E$341)&gt;1,"Duplicate keyword+direction. ","")&amp;IF(LEN(Rules!$C$341)&lt;5,"Keyword under 5 characters - matches too much. ","")&amp;IF(AND(Rules!$D$341&lt;&gt;"",COUNTIF(Cat_Name,Rules!$D$341)=0),"Category is not on the Categories sheet - rows will fall to Review Required. ","")&amp;IF(Rules!$F$341="Broad","Broad scope - deliberately forces Review Required. ","")&amp;IF(Rules!$G$341&lt;&gt;"Yes","Rule is switched OFF. ","")&amp;IF(AND(Rules!$C$341&lt;&gt;"",Rules!$D$341=""),"Keyword with no category. ","")))</f>
        <v/>
      </c>
    </row>
    <row r="341" spans="2:8" x14ac:dyDescent="0.25">
      <c r="B341" s="73" t="str">
        <f>IF(Rules!$C$342="","",Rules!$B$342)</f>
        <v/>
      </c>
      <c r="C341" s="143" t="str">
        <f>IF(Rules!$C$342="","",Rules!$C$342)</f>
        <v/>
      </c>
      <c r="D341" s="143" t="str">
        <f>IF(Rules!$C$342="","",Rules!$D$342)</f>
        <v/>
      </c>
      <c r="E341" s="73" t="str">
        <f>IF(Rules!$C$342="","",Rules!$E$342)</f>
        <v/>
      </c>
      <c r="F341" s="73" t="str">
        <f>IF(Rules!$C$342="","",Rules!$G$342)</f>
        <v/>
      </c>
      <c r="G341" s="144">
        <v>342</v>
      </c>
      <c r="H341" s="145" t="str">
        <f>IF(Rules!$C$342="","",TRIM(IF(COUNTIFS(Rules_Key,Rules!$C$342,Rules_Dir,Rules!$E$342)&gt;1,"Duplicate keyword+direction. ","")&amp;IF(LEN(Rules!$C$342)&lt;5,"Keyword under 5 characters - matches too much. ","")&amp;IF(AND(Rules!$D$342&lt;&gt;"",COUNTIF(Cat_Name,Rules!$D$342)=0),"Category is not on the Categories sheet - rows will fall to Review Required. ","")&amp;IF(Rules!$F$342="Broad","Broad scope - deliberately forces Review Required. ","")&amp;IF(Rules!$G$342&lt;&gt;"Yes","Rule is switched OFF. ","")&amp;IF(AND(Rules!$C$342&lt;&gt;"",Rules!$D$342=""),"Keyword with no category. ","")))</f>
        <v/>
      </c>
    </row>
    <row r="342" spans="2:8" x14ac:dyDescent="0.25">
      <c r="B342" s="75" t="str">
        <f>IF(Rules!$C$343="","",Rules!$B$343)</f>
        <v/>
      </c>
      <c r="C342" s="146" t="str">
        <f>IF(Rules!$C$343="","",Rules!$C$343)</f>
        <v/>
      </c>
      <c r="D342" s="146" t="str">
        <f>IF(Rules!$C$343="","",Rules!$D$343)</f>
        <v/>
      </c>
      <c r="E342" s="75" t="str">
        <f>IF(Rules!$C$343="","",Rules!$E$343)</f>
        <v/>
      </c>
      <c r="F342" s="75" t="str">
        <f>IF(Rules!$C$343="","",Rules!$G$343)</f>
        <v/>
      </c>
      <c r="G342" s="147">
        <v>343</v>
      </c>
      <c r="H342" s="148" t="str">
        <f>IF(Rules!$C$343="","",TRIM(IF(COUNTIFS(Rules_Key,Rules!$C$343,Rules_Dir,Rules!$E$343)&gt;1,"Duplicate keyword+direction. ","")&amp;IF(LEN(Rules!$C$343)&lt;5,"Keyword under 5 characters - matches too much. ","")&amp;IF(AND(Rules!$D$343&lt;&gt;"",COUNTIF(Cat_Name,Rules!$D$343)=0),"Category is not on the Categories sheet - rows will fall to Review Required. ","")&amp;IF(Rules!$F$343="Broad","Broad scope - deliberately forces Review Required. ","")&amp;IF(Rules!$G$343&lt;&gt;"Yes","Rule is switched OFF. ","")&amp;IF(AND(Rules!$C$343&lt;&gt;"",Rules!$D$343=""),"Keyword with no category. ","")))</f>
        <v/>
      </c>
    </row>
    <row r="343" spans="2:8" x14ac:dyDescent="0.25">
      <c r="B343" s="73" t="str">
        <f>IF(Rules!$C$344="","",Rules!$B$344)</f>
        <v/>
      </c>
      <c r="C343" s="143" t="str">
        <f>IF(Rules!$C$344="","",Rules!$C$344)</f>
        <v/>
      </c>
      <c r="D343" s="143" t="str">
        <f>IF(Rules!$C$344="","",Rules!$D$344)</f>
        <v/>
      </c>
      <c r="E343" s="73" t="str">
        <f>IF(Rules!$C$344="","",Rules!$E$344)</f>
        <v/>
      </c>
      <c r="F343" s="73" t="str">
        <f>IF(Rules!$C$344="","",Rules!$G$344)</f>
        <v/>
      </c>
      <c r="G343" s="144">
        <v>344</v>
      </c>
      <c r="H343" s="145" t="str">
        <f>IF(Rules!$C$344="","",TRIM(IF(COUNTIFS(Rules_Key,Rules!$C$344,Rules_Dir,Rules!$E$344)&gt;1,"Duplicate keyword+direction. ","")&amp;IF(LEN(Rules!$C$344)&lt;5,"Keyword under 5 characters - matches too much. ","")&amp;IF(AND(Rules!$D$344&lt;&gt;"",COUNTIF(Cat_Name,Rules!$D$344)=0),"Category is not on the Categories sheet - rows will fall to Review Required. ","")&amp;IF(Rules!$F$344="Broad","Broad scope - deliberately forces Review Required. ","")&amp;IF(Rules!$G$344&lt;&gt;"Yes","Rule is switched OFF. ","")&amp;IF(AND(Rules!$C$344&lt;&gt;"",Rules!$D$344=""),"Keyword with no category. ","")))</f>
        <v/>
      </c>
    </row>
    <row r="344" spans="2:8" x14ac:dyDescent="0.25">
      <c r="B344" s="75" t="str">
        <f>IF(Rules!$C$345="","",Rules!$B$345)</f>
        <v/>
      </c>
      <c r="C344" s="146" t="str">
        <f>IF(Rules!$C$345="","",Rules!$C$345)</f>
        <v/>
      </c>
      <c r="D344" s="146" t="str">
        <f>IF(Rules!$C$345="","",Rules!$D$345)</f>
        <v/>
      </c>
      <c r="E344" s="75" t="str">
        <f>IF(Rules!$C$345="","",Rules!$E$345)</f>
        <v/>
      </c>
      <c r="F344" s="75" t="str">
        <f>IF(Rules!$C$345="","",Rules!$G$345)</f>
        <v/>
      </c>
      <c r="G344" s="147">
        <v>345</v>
      </c>
      <c r="H344" s="148" t="str">
        <f>IF(Rules!$C$345="","",TRIM(IF(COUNTIFS(Rules_Key,Rules!$C$345,Rules_Dir,Rules!$E$345)&gt;1,"Duplicate keyword+direction. ","")&amp;IF(LEN(Rules!$C$345)&lt;5,"Keyword under 5 characters - matches too much. ","")&amp;IF(AND(Rules!$D$345&lt;&gt;"",COUNTIF(Cat_Name,Rules!$D$345)=0),"Category is not on the Categories sheet - rows will fall to Review Required. ","")&amp;IF(Rules!$F$345="Broad","Broad scope - deliberately forces Review Required. ","")&amp;IF(Rules!$G$345&lt;&gt;"Yes","Rule is switched OFF. ","")&amp;IF(AND(Rules!$C$345&lt;&gt;"",Rules!$D$345=""),"Keyword with no category. ","")))</f>
        <v/>
      </c>
    </row>
    <row r="345" spans="2:8" x14ac:dyDescent="0.25">
      <c r="B345" s="73" t="str">
        <f>IF(Rules!$C$346="","",Rules!$B$346)</f>
        <v/>
      </c>
      <c r="C345" s="143" t="str">
        <f>IF(Rules!$C$346="","",Rules!$C$346)</f>
        <v/>
      </c>
      <c r="D345" s="143" t="str">
        <f>IF(Rules!$C$346="","",Rules!$D$346)</f>
        <v/>
      </c>
      <c r="E345" s="73" t="str">
        <f>IF(Rules!$C$346="","",Rules!$E$346)</f>
        <v/>
      </c>
      <c r="F345" s="73" t="str">
        <f>IF(Rules!$C$346="","",Rules!$G$346)</f>
        <v/>
      </c>
      <c r="G345" s="144">
        <v>346</v>
      </c>
      <c r="H345" s="145" t="str">
        <f>IF(Rules!$C$346="","",TRIM(IF(COUNTIFS(Rules_Key,Rules!$C$346,Rules_Dir,Rules!$E$346)&gt;1,"Duplicate keyword+direction. ","")&amp;IF(LEN(Rules!$C$346)&lt;5,"Keyword under 5 characters - matches too much. ","")&amp;IF(AND(Rules!$D$346&lt;&gt;"",COUNTIF(Cat_Name,Rules!$D$346)=0),"Category is not on the Categories sheet - rows will fall to Review Required. ","")&amp;IF(Rules!$F$346="Broad","Broad scope - deliberately forces Review Required. ","")&amp;IF(Rules!$G$346&lt;&gt;"Yes","Rule is switched OFF. ","")&amp;IF(AND(Rules!$C$346&lt;&gt;"",Rules!$D$346=""),"Keyword with no category. ","")))</f>
        <v/>
      </c>
    </row>
    <row r="346" spans="2:8" x14ac:dyDescent="0.25">
      <c r="B346" s="75" t="str">
        <f>IF(Rules!$C$347="","",Rules!$B$347)</f>
        <v/>
      </c>
      <c r="C346" s="146" t="str">
        <f>IF(Rules!$C$347="","",Rules!$C$347)</f>
        <v/>
      </c>
      <c r="D346" s="146" t="str">
        <f>IF(Rules!$C$347="","",Rules!$D$347)</f>
        <v/>
      </c>
      <c r="E346" s="75" t="str">
        <f>IF(Rules!$C$347="","",Rules!$E$347)</f>
        <v/>
      </c>
      <c r="F346" s="75" t="str">
        <f>IF(Rules!$C$347="","",Rules!$G$347)</f>
        <v/>
      </c>
      <c r="G346" s="147">
        <v>347</v>
      </c>
      <c r="H346" s="148" t="str">
        <f>IF(Rules!$C$347="","",TRIM(IF(COUNTIFS(Rules_Key,Rules!$C$347,Rules_Dir,Rules!$E$347)&gt;1,"Duplicate keyword+direction. ","")&amp;IF(LEN(Rules!$C$347)&lt;5,"Keyword under 5 characters - matches too much. ","")&amp;IF(AND(Rules!$D$347&lt;&gt;"",COUNTIF(Cat_Name,Rules!$D$347)=0),"Category is not on the Categories sheet - rows will fall to Review Required. ","")&amp;IF(Rules!$F$347="Broad","Broad scope - deliberately forces Review Required. ","")&amp;IF(Rules!$G$347&lt;&gt;"Yes","Rule is switched OFF. ","")&amp;IF(AND(Rules!$C$347&lt;&gt;"",Rules!$D$347=""),"Keyword with no category. ","")))</f>
        <v/>
      </c>
    </row>
    <row r="347" spans="2:8" x14ac:dyDescent="0.25">
      <c r="B347" s="73" t="str">
        <f>IF(Rules!$C$348="","",Rules!$B$348)</f>
        <v/>
      </c>
      <c r="C347" s="143" t="str">
        <f>IF(Rules!$C$348="","",Rules!$C$348)</f>
        <v/>
      </c>
      <c r="D347" s="143" t="str">
        <f>IF(Rules!$C$348="","",Rules!$D$348)</f>
        <v/>
      </c>
      <c r="E347" s="73" t="str">
        <f>IF(Rules!$C$348="","",Rules!$E$348)</f>
        <v/>
      </c>
      <c r="F347" s="73" t="str">
        <f>IF(Rules!$C$348="","",Rules!$G$348)</f>
        <v/>
      </c>
      <c r="G347" s="144">
        <v>348</v>
      </c>
      <c r="H347" s="145" t="str">
        <f>IF(Rules!$C$348="","",TRIM(IF(COUNTIFS(Rules_Key,Rules!$C$348,Rules_Dir,Rules!$E$348)&gt;1,"Duplicate keyword+direction. ","")&amp;IF(LEN(Rules!$C$348)&lt;5,"Keyword under 5 characters - matches too much. ","")&amp;IF(AND(Rules!$D$348&lt;&gt;"",COUNTIF(Cat_Name,Rules!$D$348)=0),"Category is not on the Categories sheet - rows will fall to Review Required. ","")&amp;IF(Rules!$F$348="Broad","Broad scope - deliberately forces Review Required. ","")&amp;IF(Rules!$G$348&lt;&gt;"Yes","Rule is switched OFF. ","")&amp;IF(AND(Rules!$C$348&lt;&gt;"",Rules!$D$348=""),"Keyword with no category. ","")))</f>
        <v/>
      </c>
    </row>
    <row r="348" spans="2:8" x14ac:dyDescent="0.25">
      <c r="B348" s="75" t="str">
        <f>IF(Rules!$C$349="","",Rules!$B$349)</f>
        <v/>
      </c>
      <c r="C348" s="146" t="str">
        <f>IF(Rules!$C$349="","",Rules!$C$349)</f>
        <v/>
      </c>
      <c r="D348" s="146" t="str">
        <f>IF(Rules!$C$349="","",Rules!$D$349)</f>
        <v/>
      </c>
      <c r="E348" s="75" t="str">
        <f>IF(Rules!$C$349="","",Rules!$E$349)</f>
        <v/>
      </c>
      <c r="F348" s="75" t="str">
        <f>IF(Rules!$C$349="","",Rules!$G$349)</f>
        <v/>
      </c>
      <c r="G348" s="147">
        <v>349</v>
      </c>
      <c r="H348" s="148" t="str">
        <f>IF(Rules!$C$349="","",TRIM(IF(COUNTIFS(Rules_Key,Rules!$C$349,Rules_Dir,Rules!$E$349)&gt;1,"Duplicate keyword+direction. ","")&amp;IF(LEN(Rules!$C$349)&lt;5,"Keyword under 5 characters - matches too much. ","")&amp;IF(AND(Rules!$D$349&lt;&gt;"",COUNTIF(Cat_Name,Rules!$D$349)=0),"Category is not on the Categories sheet - rows will fall to Review Required. ","")&amp;IF(Rules!$F$349="Broad","Broad scope - deliberately forces Review Required. ","")&amp;IF(Rules!$G$349&lt;&gt;"Yes","Rule is switched OFF. ","")&amp;IF(AND(Rules!$C$349&lt;&gt;"",Rules!$D$349=""),"Keyword with no category. ","")))</f>
        <v/>
      </c>
    </row>
    <row r="349" spans="2:8" x14ac:dyDescent="0.25">
      <c r="B349" s="73" t="str">
        <f>IF(Rules!$C$350="","",Rules!$B$350)</f>
        <v/>
      </c>
      <c r="C349" s="143" t="str">
        <f>IF(Rules!$C$350="","",Rules!$C$350)</f>
        <v/>
      </c>
      <c r="D349" s="143" t="str">
        <f>IF(Rules!$C$350="","",Rules!$D$350)</f>
        <v/>
      </c>
      <c r="E349" s="73" t="str">
        <f>IF(Rules!$C$350="","",Rules!$E$350)</f>
        <v/>
      </c>
      <c r="F349" s="73" t="str">
        <f>IF(Rules!$C$350="","",Rules!$G$350)</f>
        <v/>
      </c>
      <c r="G349" s="144">
        <v>350</v>
      </c>
      <c r="H349" s="145" t="str">
        <f>IF(Rules!$C$350="","",TRIM(IF(COUNTIFS(Rules_Key,Rules!$C$350,Rules_Dir,Rules!$E$350)&gt;1,"Duplicate keyword+direction. ","")&amp;IF(LEN(Rules!$C$350)&lt;5,"Keyword under 5 characters - matches too much. ","")&amp;IF(AND(Rules!$D$350&lt;&gt;"",COUNTIF(Cat_Name,Rules!$D$350)=0),"Category is not on the Categories sheet - rows will fall to Review Required. ","")&amp;IF(Rules!$F$350="Broad","Broad scope - deliberately forces Review Required. ","")&amp;IF(Rules!$G$350&lt;&gt;"Yes","Rule is switched OFF. ","")&amp;IF(AND(Rules!$C$350&lt;&gt;"",Rules!$D$350=""),"Keyword with no category. ","")))</f>
        <v/>
      </c>
    </row>
    <row r="350" spans="2:8" x14ac:dyDescent="0.25">
      <c r="B350" s="75" t="str">
        <f>IF(Rules!$C$351="","",Rules!$B$351)</f>
        <v/>
      </c>
      <c r="C350" s="146" t="str">
        <f>IF(Rules!$C$351="","",Rules!$C$351)</f>
        <v/>
      </c>
      <c r="D350" s="146" t="str">
        <f>IF(Rules!$C$351="","",Rules!$D$351)</f>
        <v/>
      </c>
      <c r="E350" s="75" t="str">
        <f>IF(Rules!$C$351="","",Rules!$E$351)</f>
        <v/>
      </c>
      <c r="F350" s="75" t="str">
        <f>IF(Rules!$C$351="","",Rules!$G$351)</f>
        <v/>
      </c>
      <c r="G350" s="147">
        <v>351</v>
      </c>
      <c r="H350" s="148" t="str">
        <f>IF(Rules!$C$351="","",TRIM(IF(COUNTIFS(Rules_Key,Rules!$C$351,Rules_Dir,Rules!$E$351)&gt;1,"Duplicate keyword+direction. ","")&amp;IF(LEN(Rules!$C$351)&lt;5,"Keyword under 5 characters - matches too much. ","")&amp;IF(AND(Rules!$D$351&lt;&gt;"",COUNTIF(Cat_Name,Rules!$D$351)=0),"Category is not on the Categories sheet - rows will fall to Review Required. ","")&amp;IF(Rules!$F$351="Broad","Broad scope - deliberately forces Review Required. ","")&amp;IF(Rules!$G$351&lt;&gt;"Yes","Rule is switched OFF. ","")&amp;IF(AND(Rules!$C$351&lt;&gt;"",Rules!$D$351=""),"Keyword with no category. ","")))</f>
        <v/>
      </c>
    </row>
    <row r="351" spans="2:8" x14ac:dyDescent="0.25">
      <c r="B351" s="73" t="str">
        <f>IF(Rules!$C$352="","",Rules!$B$352)</f>
        <v/>
      </c>
      <c r="C351" s="143" t="str">
        <f>IF(Rules!$C$352="","",Rules!$C$352)</f>
        <v/>
      </c>
      <c r="D351" s="143" t="str">
        <f>IF(Rules!$C$352="","",Rules!$D$352)</f>
        <v/>
      </c>
      <c r="E351" s="73" t="str">
        <f>IF(Rules!$C$352="","",Rules!$E$352)</f>
        <v/>
      </c>
      <c r="F351" s="73" t="str">
        <f>IF(Rules!$C$352="","",Rules!$G$352)</f>
        <v/>
      </c>
      <c r="G351" s="144">
        <v>352</v>
      </c>
      <c r="H351" s="145" t="str">
        <f>IF(Rules!$C$352="","",TRIM(IF(COUNTIFS(Rules_Key,Rules!$C$352,Rules_Dir,Rules!$E$352)&gt;1,"Duplicate keyword+direction. ","")&amp;IF(LEN(Rules!$C$352)&lt;5,"Keyword under 5 characters - matches too much. ","")&amp;IF(AND(Rules!$D$352&lt;&gt;"",COUNTIF(Cat_Name,Rules!$D$352)=0),"Category is not on the Categories sheet - rows will fall to Review Required. ","")&amp;IF(Rules!$F$352="Broad","Broad scope - deliberately forces Review Required. ","")&amp;IF(Rules!$G$352&lt;&gt;"Yes","Rule is switched OFF. ","")&amp;IF(AND(Rules!$C$352&lt;&gt;"",Rules!$D$352=""),"Keyword with no category. ","")))</f>
        <v/>
      </c>
    </row>
    <row r="352" spans="2:8" x14ac:dyDescent="0.25">
      <c r="B352" s="75" t="str">
        <f>IF(Rules!$C$353="","",Rules!$B$353)</f>
        <v/>
      </c>
      <c r="C352" s="146" t="str">
        <f>IF(Rules!$C$353="","",Rules!$C$353)</f>
        <v/>
      </c>
      <c r="D352" s="146" t="str">
        <f>IF(Rules!$C$353="","",Rules!$D$353)</f>
        <v/>
      </c>
      <c r="E352" s="75" t="str">
        <f>IF(Rules!$C$353="","",Rules!$E$353)</f>
        <v/>
      </c>
      <c r="F352" s="75" t="str">
        <f>IF(Rules!$C$353="","",Rules!$G$353)</f>
        <v/>
      </c>
      <c r="G352" s="147">
        <v>353</v>
      </c>
      <c r="H352" s="148" t="str">
        <f>IF(Rules!$C$353="","",TRIM(IF(COUNTIFS(Rules_Key,Rules!$C$353,Rules_Dir,Rules!$E$353)&gt;1,"Duplicate keyword+direction. ","")&amp;IF(LEN(Rules!$C$353)&lt;5,"Keyword under 5 characters - matches too much. ","")&amp;IF(AND(Rules!$D$353&lt;&gt;"",COUNTIF(Cat_Name,Rules!$D$353)=0),"Category is not on the Categories sheet - rows will fall to Review Required. ","")&amp;IF(Rules!$F$353="Broad","Broad scope - deliberately forces Review Required. ","")&amp;IF(Rules!$G$353&lt;&gt;"Yes","Rule is switched OFF. ","")&amp;IF(AND(Rules!$C$353&lt;&gt;"",Rules!$D$353=""),"Keyword with no category. ","")))</f>
        <v/>
      </c>
    </row>
    <row r="353" spans="2:8" x14ac:dyDescent="0.25">
      <c r="B353" s="73" t="str">
        <f>IF(Rules!$C$354="","",Rules!$B$354)</f>
        <v/>
      </c>
      <c r="C353" s="143" t="str">
        <f>IF(Rules!$C$354="","",Rules!$C$354)</f>
        <v/>
      </c>
      <c r="D353" s="143" t="str">
        <f>IF(Rules!$C$354="","",Rules!$D$354)</f>
        <v/>
      </c>
      <c r="E353" s="73" t="str">
        <f>IF(Rules!$C$354="","",Rules!$E$354)</f>
        <v/>
      </c>
      <c r="F353" s="73" t="str">
        <f>IF(Rules!$C$354="","",Rules!$G$354)</f>
        <v/>
      </c>
      <c r="G353" s="144">
        <v>354</v>
      </c>
      <c r="H353" s="145" t="str">
        <f>IF(Rules!$C$354="","",TRIM(IF(COUNTIFS(Rules_Key,Rules!$C$354,Rules_Dir,Rules!$E$354)&gt;1,"Duplicate keyword+direction. ","")&amp;IF(LEN(Rules!$C$354)&lt;5,"Keyword under 5 characters - matches too much. ","")&amp;IF(AND(Rules!$D$354&lt;&gt;"",COUNTIF(Cat_Name,Rules!$D$354)=0),"Category is not on the Categories sheet - rows will fall to Review Required. ","")&amp;IF(Rules!$F$354="Broad","Broad scope - deliberately forces Review Required. ","")&amp;IF(Rules!$G$354&lt;&gt;"Yes","Rule is switched OFF. ","")&amp;IF(AND(Rules!$C$354&lt;&gt;"",Rules!$D$354=""),"Keyword with no category. ","")))</f>
        <v/>
      </c>
    </row>
    <row r="354" spans="2:8" x14ac:dyDescent="0.25">
      <c r="B354" s="75" t="str">
        <f>IF(Rules!$C$355="","",Rules!$B$355)</f>
        <v/>
      </c>
      <c r="C354" s="146" t="str">
        <f>IF(Rules!$C$355="","",Rules!$C$355)</f>
        <v/>
      </c>
      <c r="D354" s="146" t="str">
        <f>IF(Rules!$C$355="","",Rules!$D$355)</f>
        <v/>
      </c>
      <c r="E354" s="75" t="str">
        <f>IF(Rules!$C$355="","",Rules!$E$355)</f>
        <v/>
      </c>
      <c r="F354" s="75" t="str">
        <f>IF(Rules!$C$355="","",Rules!$G$355)</f>
        <v/>
      </c>
      <c r="G354" s="147">
        <v>355</v>
      </c>
      <c r="H354" s="148" t="str">
        <f>IF(Rules!$C$355="","",TRIM(IF(COUNTIFS(Rules_Key,Rules!$C$355,Rules_Dir,Rules!$E$355)&gt;1,"Duplicate keyword+direction. ","")&amp;IF(LEN(Rules!$C$355)&lt;5,"Keyword under 5 characters - matches too much. ","")&amp;IF(AND(Rules!$D$355&lt;&gt;"",COUNTIF(Cat_Name,Rules!$D$355)=0),"Category is not on the Categories sheet - rows will fall to Review Required. ","")&amp;IF(Rules!$F$355="Broad","Broad scope - deliberately forces Review Required. ","")&amp;IF(Rules!$G$355&lt;&gt;"Yes","Rule is switched OFF. ","")&amp;IF(AND(Rules!$C$355&lt;&gt;"",Rules!$D$355=""),"Keyword with no category. ","")))</f>
        <v/>
      </c>
    </row>
    <row r="355" spans="2:8" x14ac:dyDescent="0.25">
      <c r="B355" s="73" t="str">
        <f>IF(Rules!$C$356="","",Rules!$B$356)</f>
        <v/>
      </c>
      <c r="C355" s="143" t="str">
        <f>IF(Rules!$C$356="","",Rules!$C$356)</f>
        <v/>
      </c>
      <c r="D355" s="143" t="str">
        <f>IF(Rules!$C$356="","",Rules!$D$356)</f>
        <v/>
      </c>
      <c r="E355" s="73" t="str">
        <f>IF(Rules!$C$356="","",Rules!$E$356)</f>
        <v/>
      </c>
      <c r="F355" s="73" t="str">
        <f>IF(Rules!$C$356="","",Rules!$G$356)</f>
        <v/>
      </c>
      <c r="G355" s="144">
        <v>356</v>
      </c>
      <c r="H355" s="145" t="str">
        <f>IF(Rules!$C$356="","",TRIM(IF(COUNTIFS(Rules_Key,Rules!$C$356,Rules_Dir,Rules!$E$356)&gt;1,"Duplicate keyword+direction. ","")&amp;IF(LEN(Rules!$C$356)&lt;5,"Keyword under 5 characters - matches too much. ","")&amp;IF(AND(Rules!$D$356&lt;&gt;"",COUNTIF(Cat_Name,Rules!$D$356)=0),"Category is not on the Categories sheet - rows will fall to Review Required. ","")&amp;IF(Rules!$F$356="Broad","Broad scope - deliberately forces Review Required. ","")&amp;IF(Rules!$G$356&lt;&gt;"Yes","Rule is switched OFF. ","")&amp;IF(AND(Rules!$C$356&lt;&gt;"",Rules!$D$356=""),"Keyword with no category. ","")))</f>
        <v/>
      </c>
    </row>
    <row r="356" spans="2:8" x14ac:dyDescent="0.25">
      <c r="B356" s="75" t="str">
        <f>IF(Rules!$C$357="","",Rules!$B$357)</f>
        <v/>
      </c>
      <c r="C356" s="146" t="str">
        <f>IF(Rules!$C$357="","",Rules!$C$357)</f>
        <v/>
      </c>
      <c r="D356" s="146" t="str">
        <f>IF(Rules!$C$357="","",Rules!$D$357)</f>
        <v/>
      </c>
      <c r="E356" s="75" t="str">
        <f>IF(Rules!$C$357="","",Rules!$E$357)</f>
        <v/>
      </c>
      <c r="F356" s="75" t="str">
        <f>IF(Rules!$C$357="","",Rules!$G$357)</f>
        <v/>
      </c>
      <c r="G356" s="147">
        <v>357</v>
      </c>
      <c r="H356" s="148" t="str">
        <f>IF(Rules!$C$357="","",TRIM(IF(COUNTIFS(Rules_Key,Rules!$C$357,Rules_Dir,Rules!$E$357)&gt;1,"Duplicate keyword+direction. ","")&amp;IF(LEN(Rules!$C$357)&lt;5,"Keyword under 5 characters - matches too much. ","")&amp;IF(AND(Rules!$D$357&lt;&gt;"",COUNTIF(Cat_Name,Rules!$D$357)=0),"Category is not on the Categories sheet - rows will fall to Review Required. ","")&amp;IF(Rules!$F$357="Broad","Broad scope - deliberately forces Review Required. ","")&amp;IF(Rules!$G$357&lt;&gt;"Yes","Rule is switched OFF. ","")&amp;IF(AND(Rules!$C$357&lt;&gt;"",Rules!$D$357=""),"Keyword with no category. ","")))</f>
        <v/>
      </c>
    </row>
    <row r="357" spans="2:8" x14ac:dyDescent="0.25">
      <c r="B357" s="73" t="str">
        <f>IF(Rules!$C$358="","",Rules!$B$358)</f>
        <v/>
      </c>
      <c r="C357" s="143" t="str">
        <f>IF(Rules!$C$358="","",Rules!$C$358)</f>
        <v/>
      </c>
      <c r="D357" s="143" t="str">
        <f>IF(Rules!$C$358="","",Rules!$D$358)</f>
        <v/>
      </c>
      <c r="E357" s="73" t="str">
        <f>IF(Rules!$C$358="","",Rules!$E$358)</f>
        <v/>
      </c>
      <c r="F357" s="73" t="str">
        <f>IF(Rules!$C$358="","",Rules!$G$358)</f>
        <v/>
      </c>
      <c r="G357" s="144">
        <v>358</v>
      </c>
      <c r="H357" s="145" t="str">
        <f>IF(Rules!$C$358="","",TRIM(IF(COUNTIFS(Rules_Key,Rules!$C$358,Rules_Dir,Rules!$E$358)&gt;1,"Duplicate keyword+direction. ","")&amp;IF(LEN(Rules!$C$358)&lt;5,"Keyword under 5 characters - matches too much. ","")&amp;IF(AND(Rules!$D$358&lt;&gt;"",COUNTIF(Cat_Name,Rules!$D$358)=0),"Category is not on the Categories sheet - rows will fall to Review Required. ","")&amp;IF(Rules!$F$358="Broad","Broad scope - deliberately forces Review Required. ","")&amp;IF(Rules!$G$358&lt;&gt;"Yes","Rule is switched OFF. ","")&amp;IF(AND(Rules!$C$358&lt;&gt;"",Rules!$D$358=""),"Keyword with no category. ","")))</f>
        <v/>
      </c>
    </row>
    <row r="358" spans="2:8" x14ac:dyDescent="0.25">
      <c r="B358" s="75" t="str">
        <f>IF(Rules!$C$359="","",Rules!$B$359)</f>
        <v/>
      </c>
      <c r="C358" s="146" t="str">
        <f>IF(Rules!$C$359="","",Rules!$C$359)</f>
        <v/>
      </c>
      <c r="D358" s="146" t="str">
        <f>IF(Rules!$C$359="","",Rules!$D$359)</f>
        <v/>
      </c>
      <c r="E358" s="75" t="str">
        <f>IF(Rules!$C$359="","",Rules!$E$359)</f>
        <v/>
      </c>
      <c r="F358" s="75" t="str">
        <f>IF(Rules!$C$359="","",Rules!$G$359)</f>
        <v/>
      </c>
      <c r="G358" s="147">
        <v>359</v>
      </c>
      <c r="H358" s="148" t="str">
        <f>IF(Rules!$C$359="","",TRIM(IF(COUNTIFS(Rules_Key,Rules!$C$359,Rules_Dir,Rules!$E$359)&gt;1,"Duplicate keyword+direction. ","")&amp;IF(LEN(Rules!$C$359)&lt;5,"Keyword under 5 characters - matches too much. ","")&amp;IF(AND(Rules!$D$359&lt;&gt;"",COUNTIF(Cat_Name,Rules!$D$359)=0),"Category is not on the Categories sheet - rows will fall to Review Required. ","")&amp;IF(Rules!$F$359="Broad","Broad scope - deliberately forces Review Required. ","")&amp;IF(Rules!$G$359&lt;&gt;"Yes","Rule is switched OFF. ","")&amp;IF(AND(Rules!$C$359&lt;&gt;"",Rules!$D$359=""),"Keyword with no category. ","")))</f>
        <v/>
      </c>
    </row>
    <row r="359" spans="2:8" x14ac:dyDescent="0.25">
      <c r="B359" s="73" t="str">
        <f>IF(Rules!$C$360="","",Rules!$B$360)</f>
        <v/>
      </c>
      <c r="C359" s="143" t="str">
        <f>IF(Rules!$C$360="","",Rules!$C$360)</f>
        <v/>
      </c>
      <c r="D359" s="143" t="str">
        <f>IF(Rules!$C$360="","",Rules!$D$360)</f>
        <v/>
      </c>
      <c r="E359" s="73" t="str">
        <f>IF(Rules!$C$360="","",Rules!$E$360)</f>
        <v/>
      </c>
      <c r="F359" s="73" t="str">
        <f>IF(Rules!$C$360="","",Rules!$G$360)</f>
        <v/>
      </c>
      <c r="G359" s="144">
        <v>360</v>
      </c>
      <c r="H359" s="145" t="str">
        <f>IF(Rules!$C$360="","",TRIM(IF(COUNTIFS(Rules_Key,Rules!$C$360,Rules_Dir,Rules!$E$360)&gt;1,"Duplicate keyword+direction. ","")&amp;IF(LEN(Rules!$C$360)&lt;5,"Keyword under 5 characters - matches too much. ","")&amp;IF(AND(Rules!$D$360&lt;&gt;"",COUNTIF(Cat_Name,Rules!$D$360)=0),"Category is not on the Categories sheet - rows will fall to Review Required. ","")&amp;IF(Rules!$F$360="Broad","Broad scope - deliberately forces Review Required. ","")&amp;IF(Rules!$G$360&lt;&gt;"Yes","Rule is switched OFF. ","")&amp;IF(AND(Rules!$C$360&lt;&gt;"",Rules!$D$360=""),"Keyword with no category. ","")))</f>
        <v/>
      </c>
    </row>
    <row r="360" spans="2:8" x14ac:dyDescent="0.25">
      <c r="B360" s="75" t="str">
        <f>IF(Rules!$C$361="","",Rules!$B$361)</f>
        <v/>
      </c>
      <c r="C360" s="146" t="str">
        <f>IF(Rules!$C$361="","",Rules!$C$361)</f>
        <v/>
      </c>
      <c r="D360" s="146" t="str">
        <f>IF(Rules!$C$361="","",Rules!$D$361)</f>
        <v/>
      </c>
      <c r="E360" s="75" t="str">
        <f>IF(Rules!$C$361="","",Rules!$E$361)</f>
        <v/>
      </c>
      <c r="F360" s="75" t="str">
        <f>IF(Rules!$C$361="","",Rules!$G$361)</f>
        <v/>
      </c>
      <c r="G360" s="147">
        <v>361</v>
      </c>
      <c r="H360" s="148" t="str">
        <f>IF(Rules!$C$361="","",TRIM(IF(COUNTIFS(Rules_Key,Rules!$C$361,Rules_Dir,Rules!$E$361)&gt;1,"Duplicate keyword+direction. ","")&amp;IF(LEN(Rules!$C$361)&lt;5,"Keyword under 5 characters - matches too much. ","")&amp;IF(AND(Rules!$D$361&lt;&gt;"",COUNTIF(Cat_Name,Rules!$D$361)=0),"Category is not on the Categories sheet - rows will fall to Review Required. ","")&amp;IF(Rules!$F$361="Broad","Broad scope - deliberately forces Review Required. ","")&amp;IF(Rules!$G$361&lt;&gt;"Yes","Rule is switched OFF. ","")&amp;IF(AND(Rules!$C$361&lt;&gt;"",Rules!$D$361=""),"Keyword with no category. ","")))</f>
        <v/>
      </c>
    </row>
    <row r="361" spans="2:8" x14ac:dyDescent="0.25">
      <c r="B361" s="73" t="str">
        <f>IF(Rules!$C$362="","",Rules!$B$362)</f>
        <v/>
      </c>
      <c r="C361" s="143" t="str">
        <f>IF(Rules!$C$362="","",Rules!$C$362)</f>
        <v/>
      </c>
      <c r="D361" s="143" t="str">
        <f>IF(Rules!$C$362="","",Rules!$D$362)</f>
        <v/>
      </c>
      <c r="E361" s="73" t="str">
        <f>IF(Rules!$C$362="","",Rules!$E$362)</f>
        <v/>
      </c>
      <c r="F361" s="73" t="str">
        <f>IF(Rules!$C$362="","",Rules!$G$362)</f>
        <v/>
      </c>
      <c r="G361" s="144">
        <v>362</v>
      </c>
      <c r="H361" s="145" t="str">
        <f>IF(Rules!$C$362="","",TRIM(IF(COUNTIFS(Rules_Key,Rules!$C$362,Rules_Dir,Rules!$E$362)&gt;1,"Duplicate keyword+direction. ","")&amp;IF(LEN(Rules!$C$362)&lt;5,"Keyword under 5 characters - matches too much. ","")&amp;IF(AND(Rules!$D$362&lt;&gt;"",COUNTIF(Cat_Name,Rules!$D$362)=0),"Category is not on the Categories sheet - rows will fall to Review Required. ","")&amp;IF(Rules!$F$362="Broad","Broad scope - deliberately forces Review Required. ","")&amp;IF(Rules!$G$362&lt;&gt;"Yes","Rule is switched OFF. ","")&amp;IF(AND(Rules!$C$362&lt;&gt;"",Rules!$D$362=""),"Keyword with no category. ","")))</f>
        <v/>
      </c>
    </row>
    <row r="362" spans="2:8" x14ac:dyDescent="0.25">
      <c r="B362" s="75" t="str">
        <f>IF(Rules!$C$363="","",Rules!$B$363)</f>
        <v/>
      </c>
      <c r="C362" s="146" t="str">
        <f>IF(Rules!$C$363="","",Rules!$C$363)</f>
        <v/>
      </c>
      <c r="D362" s="146" t="str">
        <f>IF(Rules!$C$363="","",Rules!$D$363)</f>
        <v/>
      </c>
      <c r="E362" s="75" t="str">
        <f>IF(Rules!$C$363="","",Rules!$E$363)</f>
        <v/>
      </c>
      <c r="F362" s="75" t="str">
        <f>IF(Rules!$C$363="","",Rules!$G$363)</f>
        <v/>
      </c>
      <c r="G362" s="147">
        <v>363</v>
      </c>
      <c r="H362" s="148" t="str">
        <f>IF(Rules!$C$363="","",TRIM(IF(COUNTIFS(Rules_Key,Rules!$C$363,Rules_Dir,Rules!$E$363)&gt;1,"Duplicate keyword+direction. ","")&amp;IF(LEN(Rules!$C$363)&lt;5,"Keyword under 5 characters - matches too much. ","")&amp;IF(AND(Rules!$D$363&lt;&gt;"",COUNTIF(Cat_Name,Rules!$D$363)=0),"Category is not on the Categories sheet - rows will fall to Review Required. ","")&amp;IF(Rules!$F$363="Broad","Broad scope - deliberately forces Review Required. ","")&amp;IF(Rules!$G$363&lt;&gt;"Yes","Rule is switched OFF. ","")&amp;IF(AND(Rules!$C$363&lt;&gt;"",Rules!$D$363=""),"Keyword with no category. ","")))</f>
        <v/>
      </c>
    </row>
    <row r="363" spans="2:8" x14ac:dyDescent="0.25">
      <c r="B363" s="73" t="str">
        <f>IF(Rules!$C$364="","",Rules!$B$364)</f>
        <v/>
      </c>
      <c r="C363" s="143" t="str">
        <f>IF(Rules!$C$364="","",Rules!$C$364)</f>
        <v/>
      </c>
      <c r="D363" s="143" t="str">
        <f>IF(Rules!$C$364="","",Rules!$D$364)</f>
        <v/>
      </c>
      <c r="E363" s="73" t="str">
        <f>IF(Rules!$C$364="","",Rules!$E$364)</f>
        <v/>
      </c>
      <c r="F363" s="73" t="str">
        <f>IF(Rules!$C$364="","",Rules!$G$364)</f>
        <v/>
      </c>
      <c r="G363" s="144">
        <v>364</v>
      </c>
      <c r="H363" s="145" t="str">
        <f>IF(Rules!$C$364="","",TRIM(IF(COUNTIFS(Rules_Key,Rules!$C$364,Rules_Dir,Rules!$E$364)&gt;1,"Duplicate keyword+direction. ","")&amp;IF(LEN(Rules!$C$364)&lt;5,"Keyword under 5 characters - matches too much. ","")&amp;IF(AND(Rules!$D$364&lt;&gt;"",COUNTIF(Cat_Name,Rules!$D$364)=0),"Category is not on the Categories sheet - rows will fall to Review Required. ","")&amp;IF(Rules!$F$364="Broad","Broad scope - deliberately forces Review Required. ","")&amp;IF(Rules!$G$364&lt;&gt;"Yes","Rule is switched OFF. ","")&amp;IF(AND(Rules!$C$364&lt;&gt;"",Rules!$D$364=""),"Keyword with no category. ","")))</f>
        <v/>
      </c>
    </row>
    <row r="364" spans="2:8" x14ac:dyDescent="0.25">
      <c r="B364" s="75" t="str">
        <f>IF(Rules!$C$365="","",Rules!$B$365)</f>
        <v/>
      </c>
      <c r="C364" s="146" t="str">
        <f>IF(Rules!$C$365="","",Rules!$C$365)</f>
        <v/>
      </c>
      <c r="D364" s="146" t="str">
        <f>IF(Rules!$C$365="","",Rules!$D$365)</f>
        <v/>
      </c>
      <c r="E364" s="75" t="str">
        <f>IF(Rules!$C$365="","",Rules!$E$365)</f>
        <v/>
      </c>
      <c r="F364" s="75" t="str">
        <f>IF(Rules!$C$365="","",Rules!$G$365)</f>
        <v/>
      </c>
      <c r="G364" s="147">
        <v>365</v>
      </c>
      <c r="H364" s="148" t="str">
        <f>IF(Rules!$C$365="","",TRIM(IF(COUNTIFS(Rules_Key,Rules!$C$365,Rules_Dir,Rules!$E$365)&gt;1,"Duplicate keyword+direction. ","")&amp;IF(LEN(Rules!$C$365)&lt;5,"Keyword under 5 characters - matches too much. ","")&amp;IF(AND(Rules!$D$365&lt;&gt;"",COUNTIF(Cat_Name,Rules!$D$365)=0),"Category is not on the Categories sheet - rows will fall to Review Required. ","")&amp;IF(Rules!$F$365="Broad","Broad scope - deliberately forces Review Required. ","")&amp;IF(Rules!$G$365&lt;&gt;"Yes","Rule is switched OFF. ","")&amp;IF(AND(Rules!$C$365&lt;&gt;"",Rules!$D$365=""),"Keyword with no category. ","")))</f>
        <v/>
      </c>
    </row>
    <row r="365" spans="2:8" x14ac:dyDescent="0.25">
      <c r="B365" s="73" t="str">
        <f>IF(Rules!$C$366="","",Rules!$B$366)</f>
        <v/>
      </c>
      <c r="C365" s="143" t="str">
        <f>IF(Rules!$C$366="","",Rules!$C$366)</f>
        <v/>
      </c>
      <c r="D365" s="143" t="str">
        <f>IF(Rules!$C$366="","",Rules!$D$366)</f>
        <v/>
      </c>
      <c r="E365" s="73" t="str">
        <f>IF(Rules!$C$366="","",Rules!$E$366)</f>
        <v/>
      </c>
      <c r="F365" s="73" t="str">
        <f>IF(Rules!$C$366="","",Rules!$G$366)</f>
        <v/>
      </c>
      <c r="G365" s="144">
        <v>366</v>
      </c>
      <c r="H365" s="145" t="str">
        <f>IF(Rules!$C$366="","",TRIM(IF(COUNTIFS(Rules_Key,Rules!$C$366,Rules_Dir,Rules!$E$366)&gt;1,"Duplicate keyword+direction. ","")&amp;IF(LEN(Rules!$C$366)&lt;5,"Keyword under 5 characters - matches too much. ","")&amp;IF(AND(Rules!$D$366&lt;&gt;"",COUNTIF(Cat_Name,Rules!$D$366)=0),"Category is not on the Categories sheet - rows will fall to Review Required. ","")&amp;IF(Rules!$F$366="Broad","Broad scope - deliberately forces Review Required. ","")&amp;IF(Rules!$G$366&lt;&gt;"Yes","Rule is switched OFF. ","")&amp;IF(AND(Rules!$C$366&lt;&gt;"",Rules!$D$366=""),"Keyword with no category. ","")))</f>
        <v/>
      </c>
    </row>
    <row r="366" spans="2:8" x14ac:dyDescent="0.25">
      <c r="B366" s="75" t="str">
        <f>IF(Rules!$C$367="","",Rules!$B$367)</f>
        <v/>
      </c>
      <c r="C366" s="146" t="str">
        <f>IF(Rules!$C$367="","",Rules!$C$367)</f>
        <v/>
      </c>
      <c r="D366" s="146" t="str">
        <f>IF(Rules!$C$367="","",Rules!$D$367)</f>
        <v/>
      </c>
      <c r="E366" s="75" t="str">
        <f>IF(Rules!$C$367="","",Rules!$E$367)</f>
        <v/>
      </c>
      <c r="F366" s="75" t="str">
        <f>IF(Rules!$C$367="","",Rules!$G$367)</f>
        <v/>
      </c>
      <c r="G366" s="147">
        <v>367</v>
      </c>
      <c r="H366" s="148" t="str">
        <f>IF(Rules!$C$367="","",TRIM(IF(COUNTIFS(Rules_Key,Rules!$C$367,Rules_Dir,Rules!$E$367)&gt;1,"Duplicate keyword+direction. ","")&amp;IF(LEN(Rules!$C$367)&lt;5,"Keyword under 5 characters - matches too much. ","")&amp;IF(AND(Rules!$D$367&lt;&gt;"",COUNTIF(Cat_Name,Rules!$D$367)=0),"Category is not on the Categories sheet - rows will fall to Review Required. ","")&amp;IF(Rules!$F$367="Broad","Broad scope - deliberately forces Review Required. ","")&amp;IF(Rules!$G$367&lt;&gt;"Yes","Rule is switched OFF. ","")&amp;IF(AND(Rules!$C$367&lt;&gt;"",Rules!$D$367=""),"Keyword with no category. ","")))</f>
        <v/>
      </c>
    </row>
    <row r="367" spans="2:8" x14ac:dyDescent="0.25">
      <c r="B367" s="73" t="str">
        <f>IF(Rules!$C$368="","",Rules!$B$368)</f>
        <v/>
      </c>
      <c r="C367" s="143" t="str">
        <f>IF(Rules!$C$368="","",Rules!$C$368)</f>
        <v/>
      </c>
      <c r="D367" s="143" t="str">
        <f>IF(Rules!$C$368="","",Rules!$D$368)</f>
        <v/>
      </c>
      <c r="E367" s="73" t="str">
        <f>IF(Rules!$C$368="","",Rules!$E$368)</f>
        <v/>
      </c>
      <c r="F367" s="73" t="str">
        <f>IF(Rules!$C$368="","",Rules!$G$368)</f>
        <v/>
      </c>
      <c r="G367" s="144">
        <v>368</v>
      </c>
      <c r="H367" s="145" t="str">
        <f>IF(Rules!$C$368="","",TRIM(IF(COUNTIFS(Rules_Key,Rules!$C$368,Rules_Dir,Rules!$E$368)&gt;1,"Duplicate keyword+direction. ","")&amp;IF(LEN(Rules!$C$368)&lt;5,"Keyword under 5 characters - matches too much. ","")&amp;IF(AND(Rules!$D$368&lt;&gt;"",COUNTIF(Cat_Name,Rules!$D$368)=0),"Category is not on the Categories sheet - rows will fall to Review Required. ","")&amp;IF(Rules!$F$368="Broad","Broad scope - deliberately forces Review Required. ","")&amp;IF(Rules!$G$368&lt;&gt;"Yes","Rule is switched OFF. ","")&amp;IF(AND(Rules!$C$368&lt;&gt;"",Rules!$D$368=""),"Keyword with no category. ","")))</f>
        <v/>
      </c>
    </row>
    <row r="368" spans="2:8" x14ac:dyDescent="0.25">
      <c r="B368" s="75" t="str">
        <f>IF(Rules!$C$369="","",Rules!$B$369)</f>
        <v/>
      </c>
      <c r="C368" s="146" t="str">
        <f>IF(Rules!$C$369="","",Rules!$C$369)</f>
        <v/>
      </c>
      <c r="D368" s="146" t="str">
        <f>IF(Rules!$C$369="","",Rules!$D$369)</f>
        <v/>
      </c>
      <c r="E368" s="75" t="str">
        <f>IF(Rules!$C$369="","",Rules!$E$369)</f>
        <v/>
      </c>
      <c r="F368" s="75" t="str">
        <f>IF(Rules!$C$369="","",Rules!$G$369)</f>
        <v/>
      </c>
      <c r="G368" s="147">
        <v>369</v>
      </c>
      <c r="H368" s="148" t="str">
        <f>IF(Rules!$C$369="","",TRIM(IF(COUNTIFS(Rules_Key,Rules!$C$369,Rules_Dir,Rules!$E$369)&gt;1,"Duplicate keyword+direction. ","")&amp;IF(LEN(Rules!$C$369)&lt;5,"Keyword under 5 characters - matches too much. ","")&amp;IF(AND(Rules!$D$369&lt;&gt;"",COUNTIF(Cat_Name,Rules!$D$369)=0),"Category is not on the Categories sheet - rows will fall to Review Required. ","")&amp;IF(Rules!$F$369="Broad","Broad scope - deliberately forces Review Required. ","")&amp;IF(Rules!$G$369&lt;&gt;"Yes","Rule is switched OFF. ","")&amp;IF(AND(Rules!$C$369&lt;&gt;"",Rules!$D$369=""),"Keyword with no category. ","")))</f>
        <v/>
      </c>
    </row>
    <row r="369" spans="2:8" x14ac:dyDescent="0.25">
      <c r="B369" s="73" t="str">
        <f>IF(Rules!$C$370="","",Rules!$B$370)</f>
        <v/>
      </c>
      <c r="C369" s="143" t="str">
        <f>IF(Rules!$C$370="","",Rules!$C$370)</f>
        <v/>
      </c>
      <c r="D369" s="143" t="str">
        <f>IF(Rules!$C$370="","",Rules!$D$370)</f>
        <v/>
      </c>
      <c r="E369" s="73" t="str">
        <f>IF(Rules!$C$370="","",Rules!$E$370)</f>
        <v/>
      </c>
      <c r="F369" s="73" t="str">
        <f>IF(Rules!$C$370="","",Rules!$G$370)</f>
        <v/>
      </c>
      <c r="G369" s="144">
        <v>370</v>
      </c>
      <c r="H369" s="145" t="str">
        <f>IF(Rules!$C$370="","",TRIM(IF(COUNTIFS(Rules_Key,Rules!$C$370,Rules_Dir,Rules!$E$370)&gt;1,"Duplicate keyword+direction. ","")&amp;IF(LEN(Rules!$C$370)&lt;5,"Keyword under 5 characters - matches too much. ","")&amp;IF(AND(Rules!$D$370&lt;&gt;"",COUNTIF(Cat_Name,Rules!$D$370)=0),"Category is not on the Categories sheet - rows will fall to Review Required. ","")&amp;IF(Rules!$F$370="Broad","Broad scope - deliberately forces Review Required. ","")&amp;IF(Rules!$G$370&lt;&gt;"Yes","Rule is switched OFF. ","")&amp;IF(AND(Rules!$C$370&lt;&gt;"",Rules!$D$370=""),"Keyword with no category. ","")))</f>
        <v/>
      </c>
    </row>
    <row r="370" spans="2:8" x14ac:dyDescent="0.25">
      <c r="B370" s="75" t="str">
        <f>IF(Rules!$C$371="","",Rules!$B$371)</f>
        <v/>
      </c>
      <c r="C370" s="146" t="str">
        <f>IF(Rules!$C$371="","",Rules!$C$371)</f>
        <v/>
      </c>
      <c r="D370" s="146" t="str">
        <f>IF(Rules!$C$371="","",Rules!$D$371)</f>
        <v/>
      </c>
      <c r="E370" s="75" t="str">
        <f>IF(Rules!$C$371="","",Rules!$E$371)</f>
        <v/>
      </c>
      <c r="F370" s="75" t="str">
        <f>IF(Rules!$C$371="","",Rules!$G$371)</f>
        <v/>
      </c>
      <c r="G370" s="147">
        <v>371</v>
      </c>
      <c r="H370" s="148" t="str">
        <f>IF(Rules!$C$371="","",TRIM(IF(COUNTIFS(Rules_Key,Rules!$C$371,Rules_Dir,Rules!$E$371)&gt;1,"Duplicate keyword+direction. ","")&amp;IF(LEN(Rules!$C$371)&lt;5,"Keyword under 5 characters - matches too much. ","")&amp;IF(AND(Rules!$D$371&lt;&gt;"",COUNTIF(Cat_Name,Rules!$D$371)=0),"Category is not on the Categories sheet - rows will fall to Review Required. ","")&amp;IF(Rules!$F$371="Broad","Broad scope - deliberately forces Review Required. ","")&amp;IF(Rules!$G$371&lt;&gt;"Yes","Rule is switched OFF. ","")&amp;IF(AND(Rules!$C$371&lt;&gt;"",Rules!$D$371=""),"Keyword with no category. ","")))</f>
        <v/>
      </c>
    </row>
    <row r="371" spans="2:8" x14ac:dyDescent="0.25">
      <c r="B371" s="73" t="str">
        <f>IF(Rules!$C$372="","",Rules!$B$372)</f>
        <v/>
      </c>
      <c r="C371" s="143" t="str">
        <f>IF(Rules!$C$372="","",Rules!$C$372)</f>
        <v/>
      </c>
      <c r="D371" s="143" t="str">
        <f>IF(Rules!$C$372="","",Rules!$D$372)</f>
        <v/>
      </c>
      <c r="E371" s="73" t="str">
        <f>IF(Rules!$C$372="","",Rules!$E$372)</f>
        <v/>
      </c>
      <c r="F371" s="73" t="str">
        <f>IF(Rules!$C$372="","",Rules!$G$372)</f>
        <v/>
      </c>
      <c r="G371" s="144">
        <v>372</v>
      </c>
      <c r="H371" s="145" t="str">
        <f>IF(Rules!$C$372="","",TRIM(IF(COUNTIFS(Rules_Key,Rules!$C$372,Rules_Dir,Rules!$E$372)&gt;1,"Duplicate keyword+direction. ","")&amp;IF(LEN(Rules!$C$372)&lt;5,"Keyword under 5 characters - matches too much. ","")&amp;IF(AND(Rules!$D$372&lt;&gt;"",COUNTIF(Cat_Name,Rules!$D$372)=0),"Category is not on the Categories sheet - rows will fall to Review Required. ","")&amp;IF(Rules!$F$372="Broad","Broad scope - deliberately forces Review Required. ","")&amp;IF(Rules!$G$372&lt;&gt;"Yes","Rule is switched OFF. ","")&amp;IF(AND(Rules!$C$372&lt;&gt;"",Rules!$D$372=""),"Keyword with no category. ","")))</f>
        <v/>
      </c>
    </row>
    <row r="372" spans="2:8" x14ac:dyDescent="0.25">
      <c r="B372" s="75" t="str">
        <f>IF(Rules!$C$373="","",Rules!$B$373)</f>
        <v/>
      </c>
      <c r="C372" s="146" t="str">
        <f>IF(Rules!$C$373="","",Rules!$C$373)</f>
        <v/>
      </c>
      <c r="D372" s="146" t="str">
        <f>IF(Rules!$C$373="","",Rules!$D$373)</f>
        <v/>
      </c>
      <c r="E372" s="75" t="str">
        <f>IF(Rules!$C$373="","",Rules!$E$373)</f>
        <v/>
      </c>
      <c r="F372" s="75" t="str">
        <f>IF(Rules!$C$373="","",Rules!$G$373)</f>
        <v/>
      </c>
      <c r="G372" s="147">
        <v>373</v>
      </c>
      <c r="H372" s="148" t="str">
        <f>IF(Rules!$C$373="","",TRIM(IF(COUNTIFS(Rules_Key,Rules!$C$373,Rules_Dir,Rules!$E$373)&gt;1,"Duplicate keyword+direction. ","")&amp;IF(LEN(Rules!$C$373)&lt;5,"Keyword under 5 characters - matches too much. ","")&amp;IF(AND(Rules!$D$373&lt;&gt;"",COUNTIF(Cat_Name,Rules!$D$373)=0),"Category is not on the Categories sheet - rows will fall to Review Required. ","")&amp;IF(Rules!$F$373="Broad","Broad scope - deliberately forces Review Required. ","")&amp;IF(Rules!$G$373&lt;&gt;"Yes","Rule is switched OFF. ","")&amp;IF(AND(Rules!$C$373&lt;&gt;"",Rules!$D$373=""),"Keyword with no category. ","")))</f>
        <v/>
      </c>
    </row>
    <row r="373" spans="2:8" x14ac:dyDescent="0.25">
      <c r="B373" s="73" t="str">
        <f>IF(Rules!$C$374="","",Rules!$B$374)</f>
        <v/>
      </c>
      <c r="C373" s="143" t="str">
        <f>IF(Rules!$C$374="","",Rules!$C$374)</f>
        <v/>
      </c>
      <c r="D373" s="143" t="str">
        <f>IF(Rules!$C$374="","",Rules!$D$374)</f>
        <v/>
      </c>
      <c r="E373" s="73" t="str">
        <f>IF(Rules!$C$374="","",Rules!$E$374)</f>
        <v/>
      </c>
      <c r="F373" s="73" t="str">
        <f>IF(Rules!$C$374="","",Rules!$G$374)</f>
        <v/>
      </c>
      <c r="G373" s="144">
        <v>374</v>
      </c>
      <c r="H373" s="145" t="str">
        <f>IF(Rules!$C$374="","",TRIM(IF(COUNTIFS(Rules_Key,Rules!$C$374,Rules_Dir,Rules!$E$374)&gt;1,"Duplicate keyword+direction. ","")&amp;IF(LEN(Rules!$C$374)&lt;5,"Keyword under 5 characters - matches too much. ","")&amp;IF(AND(Rules!$D$374&lt;&gt;"",COUNTIF(Cat_Name,Rules!$D$374)=0),"Category is not on the Categories sheet - rows will fall to Review Required. ","")&amp;IF(Rules!$F$374="Broad","Broad scope - deliberately forces Review Required. ","")&amp;IF(Rules!$G$374&lt;&gt;"Yes","Rule is switched OFF. ","")&amp;IF(AND(Rules!$C$374&lt;&gt;"",Rules!$D$374=""),"Keyword with no category. ","")))</f>
        <v/>
      </c>
    </row>
    <row r="374" spans="2:8" x14ac:dyDescent="0.25">
      <c r="B374" s="75" t="str">
        <f>IF(Rules!$C$375="","",Rules!$B$375)</f>
        <v/>
      </c>
      <c r="C374" s="146" t="str">
        <f>IF(Rules!$C$375="","",Rules!$C$375)</f>
        <v/>
      </c>
      <c r="D374" s="146" t="str">
        <f>IF(Rules!$C$375="","",Rules!$D$375)</f>
        <v/>
      </c>
      <c r="E374" s="75" t="str">
        <f>IF(Rules!$C$375="","",Rules!$E$375)</f>
        <v/>
      </c>
      <c r="F374" s="75" t="str">
        <f>IF(Rules!$C$375="","",Rules!$G$375)</f>
        <v/>
      </c>
      <c r="G374" s="147">
        <v>375</v>
      </c>
      <c r="H374" s="148" t="str">
        <f>IF(Rules!$C$375="","",TRIM(IF(COUNTIFS(Rules_Key,Rules!$C$375,Rules_Dir,Rules!$E$375)&gt;1,"Duplicate keyword+direction. ","")&amp;IF(LEN(Rules!$C$375)&lt;5,"Keyword under 5 characters - matches too much. ","")&amp;IF(AND(Rules!$D$375&lt;&gt;"",COUNTIF(Cat_Name,Rules!$D$375)=0),"Category is not on the Categories sheet - rows will fall to Review Required. ","")&amp;IF(Rules!$F$375="Broad","Broad scope - deliberately forces Review Required. ","")&amp;IF(Rules!$G$375&lt;&gt;"Yes","Rule is switched OFF. ","")&amp;IF(AND(Rules!$C$375&lt;&gt;"",Rules!$D$375=""),"Keyword with no category. ","")))</f>
        <v/>
      </c>
    </row>
    <row r="375" spans="2:8" x14ac:dyDescent="0.25">
      <c r="B375" s="73" t="str">
        <f>IF(Rules!$C$376="","",Rules!$B$376)</f>
        <v/>
      </c>
      <c r="C375" s="143" t="str">
        <f>IF(Rules!$C$376="","",Rules!$C$376)</f>
        <v/>
      </c>
      <c r="D375" s="143" t="str">
        <f>IF(Rules!$C$376="","",Rules!$D$376)</f>
        <v/>
      </c>
      <c r="E375" s="73" t="str">
        <f>IF(Rules!$C$376="","",Rules!$E$376)</f>
        <v/>
      </c>
      <c r="F375" s="73" t="str">
        <f>IF(Rules!$C$376="","",Rules!$G$376)</f>
        <v/>
      </c>
      <c r="G375" s="144">
        <v>376</v>
      </c>
      <c r="H375" s="145" t="str">
        <f>IF(Rules!$C$376="","",TRIM(IF(COUNTIFS(Rules_Key,Rules!$C$376,Rules_Dir,Rules!$E$376)&gt;1,"Duplicate keyword+direction. ","")&amp;IF(LEN(Rules!$C$376)&lt;5,"Keyword under 5 characters - matches too much. ","")&amp;IF(AND(Rules!$D$376&lt;&gt;"",COUNTIF(Cat_Name,Rules!$D$376)=0),"Category is not on the Categories sheet - rows will fall to Review Required. ","")&amp;IF(Rules!$F$376="Broad","Broad scope - deliberately forces Review Required. ","")&amp;IF(Rules!$G$376&lt;&gt;"Yes","Rule is switched OFF. ","")&amp;IF(AND(Rules!$C$376&lt;&gt;"",Rules!$D$376=""),"Keyword with no category. ","")))</f>
        <v/>
      </c>
    </row>
    <row r="376" spans="2:8" x14ac:dyDescent="0.25">
      <c r="B376" s="75" t="str">
        <f>IF(Rules!$C$377="","",Rules!$B$377)</f>
        <v/>
      </c>
      <c r="C376" s="146" t="str">
        <f>IF(Rules!$C$377="","",Rules!$C$377)</f>
        <v/>
      </c>
      <c r="D376" s="146" t="str">
        <f>IF(Rules!$C$377="","",Rules!$D$377)</f>
        <v/>
      </c>
      <c r="E376" s="75" t="str">
        <f>IF(Rules!$C$377="","",Rules!$E$377)</f>
        <v/>
      </c>
      <c r="F376" s="75" t="str">
        <f>IF(Rules!$C$377="","",Rules!$G$377)</f>
        <v/>
      </c>
      <c r="G376" s="147">
        <v>377</v>
      </c>
      <c r="H376" s="148" t="str">
        <f>IF(Rules!$C$377="","",TRIM(IF(COUNTIFS(Rules_Key,Rules!$C$377,Rules_Dir,Rules!$E$377)&gt;1,"Duplicate keyword+direction. ","")&amp;IF(LEN(Rules!$C$377)&lt;5,"Keyword under 5 characters - matches too much. ","")&amp;IF(AND(Rules!$D$377&lt;&gt;"",COUNTIF(Cat_Name,Rules!$D$377)=0),"Category is not on the Categories sheet - rows will fall to Review Required. ","")&amp;IF(Rules!$F$377="Broad","Broad scope - deliberately forces Review Required. ","")&amp;IF(Rules!$G$377&lt;&gt;"Yes","Rule is switched OFF. ","")&amp;IF(AND(Rules!$C$377&lt;&gt;"",Rules!$D$377=""),"Keyword with no category. ","")))</f>
        <v/>
      </c>
    </row>
    <row r="377" spans="2:8" x14ac:dyDescent="0.25">
      <c r="B377" s="73" t="str">
        <f>IF(Rules!$C$378="","",Rules!$B$378)</f>
        <v/>
      </c>
      <c r="C377" s="143" t="str">
        <f>IF(Rules!$C$378="","",Rules!$C$378)</f>
        <v/>
      </c>
      <c r="D377" s="143" t="str">
        <f>IF(Rules!$C$378="","",Rules!$D$378)</f>
        <v/>
      </c>
      <c r="E377" s="73" t="str">
        <f>IF(Rules!$C$378="","",Rules!$E$378)</f>
        <v/>
      </c>
      <c r="F377" s="73" t="str">
        <f>IF(Rules!$C$378="","",Rules!$G$378)</f>
        <v/>
      </c>
      <c r="G377" s="144">
        <v>378</v>
      </c>
      <c r="H377" s="145" t="str">
        <f>IF(Rules!$C$378="","",TRIM(IF(COUNTIFS(Rules_Key,Rules!$C$378,Rules_Dir,Rules!$E$378)&gt;1,"Duplicate keyword+direction. ","")&amp;IF(LEN(Rules!$C$378)&lt;5,"Keyword under 5 characters - matches too much. ","")&amp;IF(AND(Rules!$D$378&lt;&gt;"",COUNTIF(Cat_Name,Rules!$D$378)=0),"Category is not on the Categories sheet - rows will fall to Review Required. ","")&amp;IF(Rules!$F$378="Broad","Broad scope - deliberately forces Review Required. ","")&amp;IF(Rules!$G$378&lt;&gt;"Yes","Rule is switched OFF. ","")&amp;IF(AND(Rules!$C$378&lt;&gt;"",Rules!$D$378=""),"Keyword with no category. ","")))</f>
        <v/>
      </c>
    </row>
    <row r="378" spans="2:8" x14ac:dyDescent="0.25">
      <c r="B378" s="75" t="str">
        <f>IF(Rules!$C$379="","",Rules!$B$379)</f>
        <v/>
      </c>
      <c r="C378" s="146" t="str">
        <f>IF(Rules!$C$379="","",Rules!$C$379)</f>
        <v/>
      </c>
      <c r="D378" s="146" t="str">
        <f>IF(Rules!$C$379="","",Rules!$D$379)</f>
        <v/>
      </c>
      <c r="E378" s="75" t="str">
        <f>IF(Rules!$C$379="","",Rules!$E$379)</f>
        <v/>
      </c>
      <c r="F378" s="75" t="str">
        <f>IF(Rules!$C$379="","",Rules!$G$379)</f>
        <v/>
      </c>
      <c r="G378" s="147">
        <v>379</v>
      </c>
      <c r="H378" s="148" t="str">
        <f>IF(Rules!$C$379="","",TRIM(IF(COUNTIFS(Rules_Key,Rules!$C$379,Rules_Dir,Rules!$E$379)&gt;1,"Duplicate keyword+direction. ","")&amp;IF(LEN(Rules!$C$379)&lt;5,"Keyword under 5 characters - matches too much. ","")&amp;IF(AND(Rules!$D$379&lt;&gt;"",COUNTIF(Cat_Name,Rules!$D$379)=0),"Category is not on the Categories sheet - rows will fall to Review Required. ","")&amp;IF(Rules!$F$379="Broad","Broad scope - deliberately forces Review Required. ","")&amp;IF(Rules!$G$379&lt;&gt;"Yes","Rule is switched OFF. ","")&amp;IF(AND(Rules!$C$379&lt;&gt;"",Rules!$D$379=""),"Keyword with no category. ","")))</f>
        <v/>
      </c>
    </row>
    <row r="379" spans="2:8" x14ac:dyDescent="0.25">
      <c r="B379" s="73" t="str">
        <f>IF(Rules!$C$380="","",Rules!$B$380)</f>
        <v/>
      </c>
      <c r="C379" s="143" t="str">
        <f>IF(Rules!$C$380="","",Rules!$C$380)</f>
        <v/>
      </c>
      <c r="D379" s="143" t="str">
        <f>IF(Rules!$C$380="","",Rules!$D$380)</f>
        <v/>
      </c>
      <c r="E379" s="73" t="str">
        <f>IF(Rules!$C$380="","",Rules!$E$380)</f>
        <v/>
      </c>
      <c r="F379" s="73" t="str">
        <f>IF(Rules!$C$380="","",Rules!$G$380)</f>
        <v/>
      </c>
      <c r="G379" s="144">
        <v>380</v>
      </c>
      <c r="H379" s="145" t="str">
        <f>IF(Rules!$C$380="","",TRIM(IF(COUNTIFS(Rules_Key,Rules!$C$380,Rules_Dir,Rules!$E$380)&gt;1,"Duplicate keyword+direction. ","")&amp;IF(LEN(Rules!$C$380)&lt;5,"Keyword under 5 characters - matches too much. ","")&amp;IF(AND(Rules!$D$380&lt;&gt;"",COUNTIF(Cat_Name,Rules!$D$380)=0),"Category is not on the Categories sheet - rows will fall to Review Required. ","")&amp;IF(Rules!$F$380="Broad","Broad scope - deliberately forces Review Required. ","")&amp;IF(Rules!$G$380&lt;&gt;"Yes","Rule is switched OFF. ","")&amp;IF(AND(Rules!$C$380&lt;&gt;"",Rules!$D$380=""),"Keyword with no category. ","")))</f>
        <v/>
      </c>
    </row>
    <row r="380" spans="2:8" x14ac:dyDescent="0.25">
      <c r="B380" s="75" t="str">
        <f>IF(Rules!$C$381="","",Rules!$B$381)</f>
        <v/>
      </c>
      <c r="C380" s="146" t="str">
        <f>IF(Rules!$C$381="","",Rules!$C$381)</f>
        <v/>
      </c>
      <c r="D380" s="146" t="str">
        <f>IF(Rules!$C$381="","",Rules!$D$381)</f>
        <v/>
      </c>
      <c r="E380" s="75" t="str">
        <f>IF(Rules!$C$381="","",Rules!$E$381)</f>
        <v/>
      </c>
      <c r="F380" s="75" t="str">
        <f>IF(Rules!$C$381="","",Rules!$G$381)</f>
        <v/>
      </c>
      <c r="G380" s="147">
        <v>381</v>
      </c>
      <c r="H380" s="148" t="str">
        <f>IF(Rules!$C$381="","",TRIM(IF(COUNTIFS(Rules_Key,Rules!$C$381,Rules_Dir,Rules!$E$381)&gt;1,"Duplicate keyword+direction. ","")&amp;IF(LEN(Rules!$C$381)&lt;5,"Keyword under 5 characters - matches too much. ","")&amp;IF(AND(Rules!$D$381&lt;&gt;"",COUNTIF(Cat_Name,Rules!$D$381)=0),"Category is not on the Categories sheet - rows will fall to Review Required. ","")&amp;IF(Rules!$F$381="Broad","Broad scope - deliberately forces Review Required. ","")&amp;IF(Rules!$G$381&lt;&gt;"Yes","Rule is switched OFF. ","")&amp;IF(AND(Rules!$C$381&lt;&gt;"",Rules!$D$381=""),"Keyword with no category. ","")))</f>
        <v/>
      </c>
    </row>
    <row r="381" spans="2:8" x14ac:dyDescent="0.25">
      <c r="B381" s="73" t="str">
        <f>IF(Rules!$C$382="","",Rules!$B$382)</f>
        <v/>
      </c>
      <c r="C381" s="143" t="str">
        <f>IF(Rules!$C$382="","",Rules!$C$382)</f>
        <v/>
      </c>
      <c r="D381" s="143" t="str">
        <f>IF(Rules!$C$382="","",Rules!$D$382)</f>
        <v/>
      </c>
      <c r="E381" s="73" t="str">
        <f>IF(Rules!$C$382="","",Rules!$E$382)</f>
        <v/>
      </c>
      <c r="F381" s="73" t="str">
        <f>IF(Rules!$C$382="","",Rules!$G$382)</f>
        <v/>
      </c>
      <c r="G381" s="144">
        <v>382</v>
      </c>
      <c r="H381" s="145" t="str">
        <f>IF(Rules!$C$382="","",TRIM(IF(COUNTIFS(Rules_Key,Rules!$C$382,Rules_Dir,Rules!$E$382)&gt;1,"Duplicate keyword+direction. ","")&amp;IF(LEN(Rules!$C$382)&lt;5,"Keyword under 5 characters - matches too much. ","")&amp;IF(AND(Rules!$D$382&lt;&gt;"",COUNTIF(Cat_Name,Rules!$D$382)=0),"Category is not on the Categories sheet - rows will fall to Review Required. ","")&amp;IF(Rules!$F$382="Broad","Broad scope - deliberately forces Review Required. ","")&amp;IF(Rules!$G$382&lt;&gt;"Yes","Rule is switched OFF. ","")&amp;IF(AND(Rules!$C$382&lt;&gt;"",Rules!$D$382=""),"Keyword with no category. ","")))</f>
        <v/>
      </c>
    </row>
    <row r="382" spans="2:8" x14ac:dyDescent="0.25">
      <c r="B382" s="75" t="str">
        <f>IF(Rules!$C$383="","",Rules!$B$383)</f>
        <v/>
      </c>
      <c r="C382" s="146" t="str">
        <f>IF(Rules!$C$383="","",Rules!$C$383)</f>
        <v/>
      </c>
      <c r="D382" s="146" t="str">
        <f>IF(Rules!$C$383="","",Rules!$D$383)</f>
        <v/>
      </c>
      <c r="E382" s="75" t="str">
        <f>IF(Rules!$C$383="","",Rules!$E$383)</f>
        <v/>
      </c>
      <c r="F382" s="75" t="str">
        <f>IF(Rules!$C$383="","",Rules!$G$383)</f>
        <v/>
      </c>
      <c r="G382" s="147">
        <v>383</v>
      </c>
      <c r="H382" s="148" t="str">
        <f>IF(Rules!$C$383="","",TRIM(IF(COUNTIFS(Rules_Key,Rules!$C$383,Rules_Dir,Rules!$E$383)&gt;1,"Duplicate keyword+direction. ","")&amp;IF(LEN(Rules!$C$383)&lt;5,"Keyword under 5 characters - matches too much. ","")&amp;IF(AND(Rules!$D$383&lt;&gt;"",COUNTIF(Cat_Name,Rules!$D$383)=0),"Category is not on the Categories sheet - rows will fall to Review Required. ","")&amp;IF(Rules!$F$383="Broad","Broad scope - deliberately forces Review Required. ","")&amp;IF(Rules!$G$383&lt;&gt;"Yes","Rule is switched OFF. ","")&amp;IF(AND(Rules!$C$383&lt;&gt;"",Rules!$D$383=""),"Keyword with no category. ","")))</f>
        <v/>
      </c>
    </row>
    <row r="383" spans="2:8" x14ac:dyDescent="0.25">
      <c r="B383" s="73" t="str">
        <f>IF(Rules!$C$384="","",Rules!$B$384)</f>
        <v/>
      </c>
      <c r="C383" s="143" t="str">
        <f>IF(Rules!$C$384="","",Rules!$C$384)</f>
        <v/>
      </c>
      <c r="D383" s="143" t="str">
        <f>IF(Rules!$C$384="","",Rules!$D$384)</f>
        <v/>
      </c>
      <c r="E383" s="73" t="str">
        <f>IF(Rules!$C$384="","",Rules!$E$384)</f>
        <v/>
      </c>
      <c r="F383" s="73" t="str">
        <f>IF(Rules!$C$384="","",Rules!$G$384)</f>
        <v/>
      </c>
      <c r="G383" s="144">
        <v>384</v>
      </c>
      <c r="H383" s="145" t="str">
        <f>IF(Rules!$C$384="","",TRIM(IF(COUNTIFS(Rules_Key,Rules!$C$384,Rules_Dir,Rules!$E$384)&gt;1,"Duplicate keyword+direction. ","")&amp;IF(LEN(Rules!$C$384)&lt;5,"Keyword under 5 characters - matches too much. ","")&amp;IF(AND(Rules!$D$384&lt;&gt;"",COUNTIF(Cat_Name,Rules!$D$384)=0),"Category is not on the Categories sheet - rows will fall to Review Required. ","")&amp;IF(Rules!$F$384="Broad","Broad scope - deliberately forces Review Required. ","")&amp;IF(Rules!$G$384&lt;&gt;"Yes","Rule is switched OFF. ","")&amp;IF(AND(Rules!$C$384&lt;&gt;"",Rules!$D$384=""),"Keyword with no category. ","")))</f>
        <v/>
      </c>
    </row>
    <row r="384" spans="2:8" x14ac:dyDescent="0.25">
      <c r="B384" s="75" t="str">
        <f>IF(Rules!$C$385="","",Rules!$B$385)</f>
        <v/>
      </c>
      <c r="C384" s="146" t="str">
        <f>IF(Rules!$C$385="","",Rules!$C$385)</f>
        <v/>
      </c>
      <c r="D384" s="146" t="str">
        <f>IF(Rules!$C$385="","",Rules!$D$385)</f>
        <v/>
      </c>
      <c r="E384" s="75" t="str">
        <f>IF(Rules!$C$385="","",Rules!$E$385)</f>
        <v/>
      </c>
      <c r="F384" s="75" t="str">
        <f>IF(Rules!$C$385="","",Rules!$G$385)</f>
        <v/>
      </c>
      <c r="G384" s="147">
        <v>385</v>
      </c>
      <c r="H384" s="148" t="str">
        <f>IF(Rules!$C$385="","",TRIM(IF(COUNTIFS(Rules_Key,Rules!$C$385,Rules_Dir,Rules!$E$385)&gt;1,"Duplicate keyword+direction. ","")&amp;IF(LEN(Rules!$C$385)&lt;5,"Keyword under 5 characters - matches too much. ","")&amp;IF(AND(Rules!$D$385&lt;&gt;"",COUNTIF(Cat_Name,Rules!$D$385)=0),"Category is not on the Categories sheet - rows will fall to Review Required. ","")&amp;IF(Rules!$F$385="Broad","Broad scope - deliberately forces Review Required. ","")&amp;IF(Rules!$G$385&lt;&gt;"Yes","Rule is switched OFF. ","")&amp;IF(AND(Rules!$C$385&lt;&gt;"",Rules!$D$385=""),"Keyword with no category. ","")))</f>
        <v/>
      </c>
    </row>
    <row r="385" spans="2:8" x14ac:dyDescent="0.25">
      <c r="B385" s="73" t="str">
        <f>IF(Rules!$C$386="","",Rules!$B$386)</f>
        <v/>
      </c>
      <c r="C385" s="143" t="str">
        <f>IF(Rules!$C$386="","",Rules!$C$386)</f>
        <v/>
      </c>
      <c r="D385" s="143" t="str">
        <f>IF(Rules!$C$386="","",Rules!$D$386)</f>
        <v/>
      </c>
      <c r="E385" s="73" t="str">
        <f>IF(Rules!$C$386="","",Rules!$E$386)</f>
        <v/>
      </c>
      <c r="F385" s="73" t="str">
        <f>IF(Rules!$C$386="","",Rules!$G$386)</f>
        <v/>
      </c>
      <c r="G385" s="144">
        <v>386</v>
      </c>
      <c r="H385" s="145" t="str">
        <f>IF(Rules!$C$386="","",TRIM(IF(COUNTIFS(Rules_Key,Rules!$C$386,Rules_Dir,Rules!$E$386)&gt;1,"Duplicate keyword+direction. ","")&amp;IF(LEN(Rules!$C$386)&lt;5,"Keyword under 5 characters - matches too much. ","")&amp;IF(AND(Rules!$D$386&lt;&gt;"",COUNTIF(Cat_Name,Rules!$D$386)=0),"Category is not on the Categories sheet - rows will fall to Review Required. ","")&amp;IF(Rules!$F$386="Broad","Broad scope - deliberately forces Review Required. ","")&amp;IF(Rules!$G$386&lt;&gt;"Yes","Rule is switched OFF. ","")&amp;IF(AND(Rules!$C$386&lt;&gt;"",Rules!$D$386=""),"Keyword with no category. ","")))</f>
        <v/>
      </c>
    </row>
    <row r="386" spans="2:8" x14ac:dyDescent="0.25">
      <c r="B386" s="75" t="str">
        <f>IF(Rules!$C$387="","",Rules!$B$387)</f>
        <v/>
      </c>
      <c r="C386" s="146" t="str">
        <f>IF(Rules!$C$387="","",Rules!$C$387)</f>
        <v/>
      </c>
      <c r="D386" s="146" t="str">
        <f>IF(Rules!$C$387="","",Rules!$D$387)</f>
        <v/>
      </c>
      <c r="E386" s="75" t="str">
        <f>IF(Rules!$C$387="","",Rules!$E$387)</f>
        <v/>
      </c>
      <c r="F386" s="75" t="str">
        <f>IF(Rules!$C$387="","",Rules!$G$387)</f>
        <v/>
      </c>
      <c r="G386" s="147">
        <v>387</v>
      </c>
      <c r="H386" s="148" t="str">
        <f>IF(Rules!$C$387="","",TRIM(IF(COUNTIFS(Rules_Key,Rules!$C$387,Rules_Dir,Rules!$E$387)&gt;1,"Duplicate keyword+direction. ","")&amp;IF(LEN(Rules!$C$387)&lt;5,"Keyword under 5 characters - matches too much. ","")&amp;IF(AND(Rules!$D$387&lt;&gt;"",COUNTIF(Cat_Name,Rules!$D$387)=0),"Category is not on the Categories sheet - rows will fall to Review Required. ","")&amp;IF(Rules!$F$387="Broad","Broad scope - deliberately forces Review Required. ","")&amp;IF(Rules!$G$387&lt;&gt;"Yes","Rule is switched OFF. ","")&amp;IF(AND(Rules!$C$387&lt;&gt;"",Rules!$D$387=""),"Keyword with no category. ","")))</f>
        <v/>
      </c>
    </row>
    <row r="387" spans="2:8" x14ac:dyDescent="0.25">
      <c r="B387" s="73" t="str">
        <f>IF(Rules!$C$388="","",Rules!$B$388)</f>
        <v/>
      </c>
      <c r="C387" s="143" t="str">
        <f>IF(Rules!$C$388="","",Rules!$C$388)</f>
        <v/>
      </c>
      <c r="D387" s="143" t="str">
        <f>IF(Rules!$C$388="","",Rules!$D$388)</f>
        <v/>
      </c>
      <c r="E387" s="73" t="str">
        <f>IF(Rules!$C$388="","",Rules!$E$388)</f>
        <v/>
      </c>
      <c r="F387" s="73" t="str">
        <f>IF(Rules!$C$388="","",Rules!$G$388)</f>
        <v/>
      </c>
      <c r="G387" s="144">
        <v>388</v>
      </c>
      <c r="H387" s="145" t="str">
        <f>IF(Rules!$C$388="","",TRIM(IF(COUNTIFS(Rules_Key,Rules!$C$388,Rules_Dir,Rules!$E$388)&gt;1,"Duplicate keyword+direction. ","")&amp;IF(LEN(Rules!$C$388)&lt;5,"Keyword under 5 characters - matches too much. ","")&amp;IF(AND(Rules!$D$388&lt;&gt;"",COUNTIF(Cat_Name,Rules!$D$388)=0),"Category is not on the Categories sheet - rows will fall to Review Required. ","")&amp;IF(Rules!$F$388="Broad","Broad scope - deliberately forces Review Required. ","")&amp;IF(Rules!$G$388&lt;&gt;"Yes","Rule is switched OFF. ","")&amp;IF(AND(Rules!$C$388&lt;&gt;"",Rules!$D$388=""),"Keyword with no category. ","")))</f>
        <v/>
      </c>
    </row>
    <row r="388" spans="2:8" x14ac:dyDescent="0.25">
      <c r="B388" s="75" t="str">
        <f>IF(Rules!$C$389="","",Rules!$B$389)</f>
        <v/>
      </c>
      <c r="C388" s="146" t="str">
        <f>IF(Rules!$C$389="","",Rules!$C$389)</f>
        <v/>
      </c>
      <c r="D388" s="146" t="str">
        <f>IF(Rules!$C$389="","",Rules!$D$389)</f>
        <v/>
      </c>
      <c r="E388" s="75" t="str">
        <f>IF(Rules!$C$389="","",Rules!$E$389)</f>
        <v/>
      </c>
      <c r="F388" s="75" t="str">
        <f>IF(Rules!$C$389="","",Rules!$G$389)</f>
        <v/>
      </c>
      <c r="G388" s="147">
        <v>389</v>
      </c>
      <c r="H388" s="148" t="str">
        <f>IF(Rules!$C$389="","",TRIM(IF(COUNTIFS(Rules_Key,Rules!$C$389,Rules_Dir,Rules!$E$389)&gt;1,"Duplicate keyword+direction. ","")&amp;IF(LEN(Rules!$C$389)&lt;5,"Keyword under 5 characters - matches too much. ","")&amp;IF(AND(Rules!$D$389&lt;&gt;"",COUNTIF(Cat_Name,Rules!$D$389)=0),"Category is not on the Categories sheet - rows will fall to Review Required. ","")&amp;IF(Rules!$F$389="Broad","Broad scope - deliberately forces Review Required. ","")&amp;IF(Rules!$G$389&lt;&gt;"Yes","Rule is switched OFF. ","")&amp;IF(AND(Rules!$C$389&lt;&gt;"",Rules!$D$389=""),"Keyword with no category. ","")))</f>
        <v/>
      </c>
    </row>
    <row r="389" spans="2:8" x14ac:dyDescent="0.25">
      <c r="B389" s="73" t="str">
        <f>IF(Rules!$C$390="","",Rules!$B$390)</f>
        <v/>
      </c>
      <c r="C389" s="143" t="str">
        <f>IF(Rules!$C$390="","",Rules!$C$390)</f>
        <v/>
      </c>
      <c r="D389" s="143" t="str">
        <f>IF(Rules!$C$390="","",Rules!$D$390)</f>
        <v/>
      </c>
      <c r="E389" s="73" t="str">
        <f>IF(Rules!$C$390="","",Rules!$E$390)</f>
        <v/>
      </c>
      <c r="F389" s="73" t="str">
        <f>IF(Rules!$C$390="","",Rules!$G$390)</f>
        <v/>
      </c>
      <c r="G389" s="144">
        <v>390</v>
      </c>
      <c r="H389" s="145" t="str">
        <f>IF(Rules!$C$390="","",TRIM(IF(COUNTIFS(Rules_Key,Rules!$C$390,Rules_Dir,Rules!$E$390)&gt;1,"Duplicate keyword+direction. ","")&amp;IF(LEN(Rules!$C$390)&lt;5,"Keyword under 5 characters - matches too much. ","")&amp;IF(AND(Rules!$D$390&lt;&gt;"",COUNTIF(Cat_Name,Rules!$D$390)=0),"Category is not on the Categories sheet - rows will fall to Review Required. ","")&amp;IF(Rules!$F$390="Broad","Broad scope - deliberately forces Review Required. ","")&amp;IF(Rules!$G$390&lt;&gt;"Yes","Rule is switched OFF. ","")&amp;IF(AND(Rules!$C$390&lt;&gt;"",Rules!$D$390=""),"Keyword with no category. ","")))</f>
        <v/>
      </c>
    </row>
    <row r="390" spans="2:8" x14ac:dyDescent="0.25">
      <c r="B390" s="75" t="str">
        <f>IF(Rules!$C$391="","",Rules!$B$391)</f>
        <v/>
      </c>
      <c r="C390" s="146" t="str">
        <f>IF(Rules!$C$391="","",Rules!$C$391)</f>
        <v/>
      </c>
      <c r="D390" s="146" t="str">
        <f>IF(Rules!$C$391="","",Rules!$D$391)</f>
        <v/>
      </c>
      <c r="E390" s="75" t="str">
        <f>IF(Rules!$C$391="","",Rules!$E$391)</f>
        <v/>
      </c>
      <c r="F390" s="75" t="str">
        <f>IF(Rules!$C$391="","",Rules!$G$391)</f>
        <v/>
      </c>
      <c r="G390" s="147">
        <v>391</v>
      </c>
      <c r="H390" s="148" t="str">
        <f>IF(Rules!$C$391="","",TRIM(IF(COUNTIFS(Rules_Key,Rules!$C$391,Rules_Dir,Rules!$E$391)&gt;1,"Duplicate keyword+direction. ","")&amp;IF(LEN(Rules!$C$391)&lt;5,"Keyword under 5 characters - matches too much. ","")&amp;IF(AND(Rules!$D$391&lt;&gt;"",COUNTIF(Cat_Name,Rules!$D$391)=0),"Category is not on the Categories sheet - rows will fall to Review Required. ","")&amp;IF(Rules!$F$391="Broad","Broad scope - deliberately forces Review Required. ","")&amp;IF(Rules!$G$391&lt;&gt;"Yes","Rule is switched OFF. ","")&amp;IF(AND(Rules!$C$391&lt;&gt;"",Rules!$D$391=""),"Keyword with no category. ","")))</f>
        <v/>
      </c>
    </row>
    <row r="391" spans="2:8" x14ac:dyDescent="0.25">
      <c r="B391" s="73" t="str">
        <f>IF(Rules!$C$392="","",Rules!$B$392)</f>
        <v/>
      </c>
      <c r="C391" s="143" t="str">
        <f>IF(Rules!$C$392="","",Rules!$C$392)</f>
        <v/>
      </c>
      <c r="D391" s="143" t="str">
        <f>IF(Rules!$C$392="","",Rules!$D$392)</f>
        <v/>
      </c>
      <c r="E391" s="73" t="str">
        <f>IF(Rules!$C$392="","",Rules!$E$392)</f>
        <v/>
      </c>
      <c r="F391" s="73" t="str">
        <f>IF(Rules!$C$392="","",Rules!$G$392)</f>
        <v/>
      </c>
      <c r="G391" s="144">
        <v>392</v>
      </c>
      <c r="H391" s="145" t="str">
        <f>IF(Rules!$C$392="","",TRIM(IF(COUNTIFS(Rules_Key,Rules!$C$392,Rules_Dir,Rules!$E$392)&gt;1,"Duplicate keyword+direction. ","")&amp;IF(LEN(Rules!$C$392)&lt;5,"Keyword under 5 characters - matches too much. ","")&amp;IF(AND(Rules!$D$392&lt;&gt;"",COUNTIF(Cat_Name,Rules!$D$392)=0),"Category is not on the Categories sheet - rows will fall to Review Required. ","")&amp;IF(Rules!$F$392="Broad","Broad scope - deliberately forces Review Required. ","")&amp;IF(Rules!$G$392&lt;&gt;"Yes","Rule is switched OFF. ","")&amp;IF(AND(Rules!$C$392&lt;&gt;"",Rules!$D$392=""),"Keyword with no category. ","")))</f>
        <v/>
      </c>
    </row>
    <row r="392" spans="2:8" x14ac:dyDescent="0.25">
      <c r="B392" s="75" t="str">
        <f>IF(Rules!$C$393="","",Rules!$B$393)</f>
        <v/>
      </c>
      <c r="C392" s="146" t="str">
        <f>IF(Rules!$C$393="","",Rules!$C$393)</f>
        <v/>
      </c>
      <c r="D392" s="146" t="str">
        <f>IF(Rules!$C$393="","",Rules!$D$393)</f>
        <v/>
      </c>
      <c r="E392" s="75" t="str">
        <f>IF(Rules!$C$393="","",Rules!$E$393)</f>
        <v/>
      </c>
      <c r="F392" s="75" t="str">
        <f>IF(Rules!$C$393="","",Rules!$G$393)</f>
        <v/>
      </c>
      <c r="G392" s="147">
        <v>393</v>
      </c>
      <c r="H392" s="148" t="str">
        <f>IF(Rules!$C$393="","",TRIM(IF(COUNTIFS(Rules_Key,Rules!$C$393,Rules_Dir,Rules!$E$393)&gt;1,"Duplicate keyword+direction. ","")&amp;IF(LEN(Rules!$C$393)&lt;5,"Keyword under 5 characters - matches too much. ","")&amp;IF(AND(Rules!$D$393&lt;&gt;"",COUNTIF(Cat_Name,Rules!$D$393)=0),"Category is not on the Categories sheet - rows will fall to Review Required. ","")&amp;IF(Rules!$F$393="Broad","Broad scope - deliberately forces Review Required. ","")&amp;IF(Rules!$G$393&lt;&gt;"Yes","Rule is switched OFF. ","")&amp;IF(AND(Rules!$C$393&lt;&gt;"",Rules!$D$393=""),"Keyword with no category. ","")))</f>
        <v/>
      </c>
    </row>
    <row r="393" spans="2:8" x14ac:dyDescent="0.25">
      <c r="B393" s="73" t="str">
        <f>IF(Rules!$C$394="","",Rules!$B$394)</f>
        <v/>
      </c>
      <c r="C393" s="143" t="str">
        <f>IF(Rules!$C$394="","",Rules!$C$394)</f>
        <v/>
      </c>
      <c r="D393" s="143" t="str">
        <f>IF(Rules!$C$394="","",Rules!$D$394)</f>
        <v/>
      </c>
      <c r="E393" s="73" t="str">
        <f>IF(Rules!$C$394="","",Rules!$E$394)</f>
        <v/>
      </c>
      <c r="F393" s="73" t="str">
        <f>IF(Rules!$C$394="","",Rules!$G$394)</f>
        <v/>
      </c>
      <c r="G393" s="144">
        <v>394</v>
      </c>
      <c r="H393" s="145" t="str">
        <f>IF(Rules!$C$394="","",TRIM(IF(COUNTIFS(Rules_Key,Rules!$C$394,Rules_Dir,Rules!$E$394)&gt;1,"Duplicate keyword+direction. ","")&amp;IF(LEN(Rules!$C$394)&lt;5,"Keyword under 5 characters - matches too much. ","")&amp;IF(AND(Rules!$D$394&lt;&gt;"",COUNTIF(Cat_Name,Rules!$D$394)=0),"Category is not on the Categories sheet - rows will fall to Review Required. ","")&amp;IF(Rules!$F$394="Broad","Broad scope - deliberately forces Review Required. ","")&amp;IF(Rules!$G$394&lt;&gt;"Yes","Rule is switched OFF. ","")&amp;IF(AND(Rules!$C$394&lt;&gt;"",Rules!$D$394=""),"Keyword with no category. ","")))</f>
        <v/>
      </c>
    </row>
    <row r="394" spans="2:8" x14ac:dyDescent="0.25">
      <c r="B394" s="75" t="str">
        <f>IF(Rules!$C$395="","",Rules!$B$395)</f>
        <v/>
      </c>
      <c r="C394" s="146" t="str">
        <f>IF(Rules!$C$395="","",Rules!$C$395)</f>
        <v/>
      </c>
      <c r="D394" s="146" t="str">
        <f>IF(Rules!$C$395="","",Rules!$D$395)</f>
        <v/>
      </c>
      <c r="E394" s="75" t="str">
        <f>IF(Rules!$C$395="","",Rules!$E$395)</f>
        <v/>
      </c>
      <c r="F394" s="75" t="str">
        <f>IF(Rules!$C$395="","",Rules!$G$395)</f>
        <v/>
      </c>
      <c r="G394" s="147">
        <v>395</v>
      </c>
      <c r="H394" s="148" t="str">
        <f>IF(Rules!$C$395="","",TRIM(IF(COUNTIFS(Rules_Key,Rules!$C$395,Rules_Dir,Rules!$E$395)&gt;1,"Duplicate keyword+direction. ","")&amp;IF(LEN(Rules!$C$395)&lt;5,"Keyword under 5 characters - matches too much. ","")&amp;IF(AND(Rules!$D$395&lt;&gt;"",COUNTIF(Cat_Name,Rules!$D$395)=0),"Category is not on the Categories sheet - rows will fall to Review Required. ","")&amp;IF(Rules!$F$395="Broad","Broad scope - deliberately forces Review Required. ","")&amp;IF(Rules!$G$395&lt;&gt;"Yes","Rule is switched OFF. ","")&amp;IF(AND(Rules!$C$395&lt;&gt;"",Rules!$D$395=""),"Keyword with no category. ","")))</f>
        <v/>
      </c>
    </row>
    <row r="395" spans="2:8" x14ac:dyDescent="0.25">
      <c r="B395" s="73" t="str">
        <f>IF(Rules!$C$396="","",Rules!$B$396)</f>
        <v/>
      </c>
      <c r="C395" s="143" t="str">
        <f>IF(Rules!$C$396="","",Rules!$C$396)</f>
        <v/>
      </c>
      <c r="D395" s="143" t="str">
        <f>IF(Rules!$C$396="","",Rules!$D$396)</f>
        <v/>
      </c>
      <c r="E395" s="73" t="str">
        <f>IF(Rules!$C$396="","",Rules!$E$396)</f>
        <v/>
      </c>
      <c r="F395" s="73" t="str">
        <f>IF(Rules!$C$396="","",Rules!$G$396)</f>
        <v/>
      </c>
      <c r="G395" s="144">
        <v>396</v>
      </c>
      <c r="H395" s="145" t="str">
        <f>IF(Rules!$C$396="","",TRIM(IF(COUNTIFS(Rules_Key,Rules!$C$396,Rules_Dir,Rules!$E$396)&gt;1,"Duplicate keyword+direction. ","")&amp;IF(LEN(Rules!$C$396)&lt;5,"Keyword under 5 characters - matches too much. ","")&amp;IF(AND(Rules!$D$396&lt;&gt;"",COUNTIF(Cat_Name,Rules!$D$396)=0),"Category is not on the Categories sheet - rows will fall to Review Required. ","")&amp;IF(Rules!$F$396="Broad","Broad scope - deliberately forces Review Required. ","")&amp;IF(Rules!$G$396&lt;&gt;"Yes","Rule is switched OFF. ","")&amp;IF(AND(Rules!$C$396&lt;&gt;"",Rules!$D$396=""),"Keyword with no category. ","")))</f>
        <v/>
      </c>
    </row>
    <row r="396" spans="2:8" x14ac:dyDescent="0.25">
      <c r="B396" s="75" t="str">
        <f>IF(Rules!$C$397="","",Rules!$B$397)</f>
        <v/>
      </c>
      <c r="C396" s="146" t="str">
        <f>IF(Rules!$C$397="","",Rules!$C$397)</f>
        <v/>
      </c>
      <c r="D396" s="146" t="str">
        <f>IF(Rules!$C$397="","",Rules!$D$397)</f>
        <v/>
      </c>
      <c r="E396" s="75" t="str">
        <f>IF(Rules!$C$397="","",Rules!$E$397)</f>
        <v/>
      </c>
      <c r="F396" s="75" t="str">
        <f>IF(Rules!$C$397="","",Rules!$G$397)</f>
        <v/>
      </c>
      <c r="G396" s="147">
        <v>397</v>
      </c>
      <c r="H396" s="148" t="str">
        <f>IF(Rules!$C$397="","",TRIM(IF(COUNTIFS(Rules_Key,Rules!$C$397,Rules_Dir,Rules!$E$397)&gt;1,"Duplicate keyword+direction. ","")&amp;IF(LEN(Rules!$C$397)&lt;5,"Keyword under 5 characters - matches too much. ","")&amp;IF(AND(Rules!$D$397&lt;&gt;"",COUNTIF(Cat_Name,Rules!$D$397)=0),"Category is not on the Categories sheet - rows will fall to Review Required. ","")&amp;IF(Rules!$F$397="Broad","Broad scope - deliberately forces Review Required. ","")&amp;IF(Rules!$G$397&lt;&gt;"Yes","Rule is switched OFF. ","")&amp;IF(AND(Rules!$C$397&lt;&gt;"",Rules!$D$397=""),"Keyword with no category. ","")))</f>
        <v/>
      </c>
    </row>
    <row r="397" spans="2:8" x14ac:dyDescent="0.25">
      <c r="B397" s="73" t="str">
        <f>IF(Rules!$C$398="","",Rules!$B$398)</f>
        <v/>
      </c>
      <c r="C397" s="143" t="str">
        <f>IF(Rules!$C$398="","",Rules!$C$398)</f>
        <v/>
      </c>
      <c r="D397" s="143" t="str">
        <f>IF(Rules!$C$398="","",Rules!$D$398)</f>
        <v/>
      </c>
      <c r="E397" s="73" t="str">
        <f>IF(Rules!$C$398="","",Rules!$E$398)</f>
        <v/>
      </c>
      <c r="F397" s="73" t="str">
        <f>IF(Rules!$C$398="","",Rules!$G$398)</f>
        <v/>
      </c>
      <c r="G397" s="144">
        <v>398</v>
      </c>
      <c r="H397" s="145" t="str">
        <f>IF(Rules!$C$398="","",TRIM(IF(COUNTIFS(Rules_Key,Rules!$C$398,Rules_Dir,Rules!$E$398)&gt;1,"Duplicate keyword+direction. ","")&amp;IF(LEN(Rules!$C$398)&lt;5,"Keyword under 5 characters - matches too much. ","")&amp;IF(AND(Rules!$D$398&lt;&gt;"",COUNTIF(Cat_Name,Rules!$D$398)=0),"Category is not on the Categories sheet - rows will fall to Review Required. ","")&amp;IF(Rules!$F$398="Broad","Broad scope - deliberately forces Review Required. ","")&amp;IF(Rules!$G$398&lt;&gt;"Yes","Rule is switched OFF. ","")&amp;IF(AND(Rules!$C$398&lt;&gt;"",Rules!$D$398=""),"Keyword with no category. ","")))</f>
        <v/>
      </c>
    </row>
    <row r="398" spans="2:8" x14ac:dyDescent="0.25">
      <c r="B398" s="75" t="str">
        <f>IF(Rules!$C$399="","",Rules!$B$399)</f>
        <v/>
      </c>
      <c r="C398" s="146" t="str">
        <f>IF(Rules!$C$399="","",Rules!$C$399)</f>
        <v/>
      </c>
      <c r="D398" s="146" t="str">
        <f>IF(Rules!$C$399="","",Rules!$D$399)</f>
        <v/>
      </c>
      <c r="E398" s="75" t="str">
        <f>IF(Rules!$C$399="","",Rules!$E$399)</f>
        <v/>
      </c>
      <c r="F398" s="75" t="str">
        <f>IF(Rules!$C$399="","",Rules!$G$399)</f>
        <v/>
      </c>
      <c r="G398" s="147">
        <v>399</v>
      </c>
      <c r="H398" s="148" t="str">
        <f>IF(Rules!$C$399="","",TRIM(IF(COUNTIFS(Rules_Key,Rules!$C$399,Rules_Dir,Rules!$E$399)&gt;1,"Duplicate keyword+direction. ","")&amp;IF(LEN(Rules!$C$399)&lt;5,"Keyword under 5 characters - matches too much. ","")&amp;IF(AND(Rules!$D$399&lt;&gt;"",COUNTIF(Cat_Name,Rules!$D$399)=0),"Category is not on the Categories sheet - rows will fall to Review Required. ","")&amp;IF(Rules!$F$399="Broad","Broad scope - deliberately forces Review Required. ","")&amp;IF(Rules!$G$399&lt;&gt;"Yes","Rule is switched OFF. ","")&amp;IF(AND(Rules!$C$399&lt;&gt;"",Rules!$D$399=""),"Keyword with no category. ","")))</f>
        <v/>
      </c>
    </row>
    <row r="399" spans="2:8" x14ac:dyDescent="0.25">
      <c r="B399" s="73" t="str">
        <f>IF(Rules!$C$400="","",Rules!$B$400)</f>
        <v/>
      </c>
      <c r="C399" s="143" t="str">
        <f>IF(Rules!$C$400="","",Rules!$C$400)</f>
        <v/>
      </c>
      <c r="D399" s="143" t="str">
        <f>IF(Rules!$C$400="","",Rules!$D$400)</f>
        <v/>
      </c>
      <c r="E399" s="73" t="str">
        <f>IF(Rules!$C$400="","",Rules!$E$400)</f>
        <v/>
      </c>
      <c r="F399" s="73" t="str">
        <f>IF(Rules!$C$400="","",Rules!$G$400)</f>
        <v/>
      </c>
      <c r="G399" s="144">
        <v>400</v>
      </c>
      <c r="H399" s="145" t="str">
        <f>IF(Rules!$C$400="","",TRIM(IF(COUNTIFS(Rules_Key,Rules!$C$400,Rules_Dir,Rules!$E$400)&gt;1,"Duplicate keyword+direction. ","")&amp;IF(LEN(Rules!$C$400)&lt;5,"Keyword under 5 characters - matches too much. ","")&amp;IF(AND(Rules!$D$400&lt;&gt;"",COUNTIF(Cat_Name,Rules!$D$400)=0),"Category is not on the Categories sheet - rows will fall to Review Required. ","")&amp;IF(Rules!$F$400="Broad","Broad scope - deliberately forces Review Required. ","")&amp;IF(Rules!$G$400&lt;&gt;"Yes","Rule is switched OFF. ","")&amp;IF(AND(Rules!$C$400&lt;&gt;"",Rules!$D$400=""),"Keyword with no category. ","")))</f>
        <v/>
      </c>
    </row>
    <row r="400" spans="2:8" x14ac:dyDescent="0.25">
      <c r="B400" s="75" t="str">
        <f>IF(Rules!$C$401="","",Rules!$B$401)</f>
        <v/>
      </c>
      <c r="C400" s="146" t="str">
        <f>IF(Rules!$C$401="","",Rules!$C$401)</f>
        <v/>
      </c>
      <c r="D400" s="146" t="str">
        <f>IF(Rules!$C$401="","",Rules!$D$401)</f>
        <v/>
      </c>
      <c r="E400" s="75" t="str">
        <f>IF(Rules!$C$401="","",Rules!$E$401)</f>
        <v/>
      </c>
      <c r="F400" s="75" t="str">
        <f>IF(Rules!$C$401="","",Rules!$G$401)</f>
        <v/>
      </c>
      <c r="G400" s="147">
        <v>401</v>
      </c>
      <c r="H400" s="148" t="str">
        <f>IF(Rules!$C$401="","",TRIM(IF(COUNTIFS(Rules_Key,Rules!$C$401,Rules_Dir,Rules!$E$401)&gt;1,"Duplicate keyword+direction. ","")&amp;IF(LEN(Rules!$C$401)&lt;5,"Keyword under 5 characters - matches too much. ","")&amp;IF(AND(Rules!$D$401&lt;&gt;"",COUNTIF(Cat_Name,Rules!$D$401)=0),"Category is not on the Categories sheet - rows will fall to Review Required. ","")&amp;IF(Rules!$F$401="Broad","Broad scope - deliberately forces Review Required. ","")&amp;IF(Rules!$G$401&lt;&gt;"Yes","Rule is switched OFF. ","")&amp;IF(AND(Rules!$C$401&lt;&gt;"",Rules!$D$401=""),"Keyword with no category. ","")))</f>
        <v/>
      </c>
    </row>
    <row r="401" spans="2:8" x14ac:dyDescent="0.25">
      <c r="B401" s="73" t="str">
        <f>IF(Rules!$C$402="","",Rules!$B$402)</f>
        <v/>
      </c>
      <c r="C401" s="143" t="str">
        <f>IF(Rules!$C$402="","",Rules!$C$402)</f>
        <v/>
      </c>
      <c r="D401" s="143" t="str">
        <f>IF(Rules!$C$402="","",Rules!$D$402)</f>
        <v/>
      </c>
      <c r="E401" s="73" t="str">
        <f>IF(Rules!$C$402="","",Rules!$E$402)</f>
        <v/>
      </c>
      <c r="F401" s="73" t="str">
        <f>IF(Rules!$C$402="","",Rules!$G$402)</f>
        <v/>
      </c>
      <c r="G401" s="144">
        <v>402</v>
      </c>
      <c r="H401" s="145" t="str">
        <f>IF(Rules!$C$402="","",TRIM(IF(COUNTIFS(Rules_Key,Rules!$C$402,Rules_Dir,Rules!$E$402)&gt;1,"Duplicate keyword+direction. ","")&amp;IF(LEN(Rules!$C$402)&lt;5,"Keyword under 5 characters - matches too much. ","")&amp;IF(AND(Rules!$D$402&lt;&gt;"",COUNTIF(Cat_Name,Rules!$D$402)=0),"Category is not on the Categories sheet - rows will fall to Review Required. ","")&amp;IF(Rules!$F$402="Broad","Broad scope - deliberately forces Review Required. ","")&amp;IF(Rules!$G$402&lt;&gt;"Yes","Rule is switched OFF. ","")&amp;IF(AND(Rules!$C$402&lt;&gt;"",Rules!$D$402=""),"Keyword with no category. ","")))</f>
        <v/>
      </c>
    </row>
    <row r="402" spans="2:8" x14ac:dyDescent="0.25">
      <c r="B402" s="75" t="str">
        <f>IF(Rules!$C$403="","",Rules!$B$403)</f>
        <v/>
      </c>
      <c r="C402" s="146" t="str">
        <f>IF(Rules!$C$403="","",Rules!$C$403)</f>
        <v/>
      </c>
      <c r="D402" s="146" t="str">
        <f>IF(Rules!$C$403="","",Rules!$D$403)</f>
        <v/>
      </c>
      <c r="E402" s="75" t="str">
        <f>IF(Rules!$C$403="","",Rules!$E$403)</f>
        <v/>
      </c>
      <c r="F402" s="75" t="str">
        <f>IF(Rules!$C$403="","",Rules!$G$403)</f>
        <v/>
      </c>
      <c r="G402" s="147">
        <v>403</v>
      </c>
      <c r="H402" s="148" t="str">
        <f>IF(Rules!$C$403="","",TRIM(IF(COUNTIFS(Rules_Key,Rules!$C$403,Rules_Dir,Rules!$E$403)&gt;1,"Duplicate keyword+direction. ","")&amp;IF(LEN(Rules!$C$403)&lt;5,"Keyword under 5 characters - matches too much. ","")&amp;IF(AND(Rules!$D$403&lt;&gt;"",COUNTIF(Cat_Name,Rules!$D$403)=0),"Category is not on the Categories sheet - rows will fall to Review Required. ","")&amp;IF(Rules!$F$403="Broad","Broad scope - deliberately forces Review Required. ","")&amp;IF(Rules!$G$403&lt;&gt;"Yes","Rule is switched OFF. ","")&amp;IF(AND(Rules!$C$403&lt;&gt;"",Rules!$D$403=""),"Keyword with no category. ","")))</f>
        <v/>
      </c>
    </row>
    <row r="403" spans="2:8" x14ac:dyDescent="0.25">
      <c r="B403" s="73" t="str">
        <f>IF(Rules!$C$404="","",Rules!$B$404)</f>
        <v/>
      </c>
      <c r="C403" s="143" t="str">
        <f>IF(Rules!$C$404="","",Rules!$C$404)</f>
        <v/>
      </c>
      <c r="D403" s="143" t="str">
        <f>IF(Rules!$C$404="","",Rules!$D$404)</f>
        <v/>
      </c>
      <c r="E403" s="73" t="str">
        <f>IF(Rules!$C$404="","",Rules!$E$404)</f>
        <v/>
      </c>
      <c r="F403" s="73" t="str">
        <f>IF(Rules!$C$404="","",Rules!$G$404)</f>
        <v/>
      </c>
      <c r="G403" s="144">
        <v>404</v>
      </c>
      <c r="H403" s="145" t="str">
        <f>IF(Rules!$C$404="","",TRIM(IF(COUNTIFS(Rules_Key,Rules!$C$404,Rules_Dir,Rules!$E$404)&gt;1,"Duplicate keyword+direction. ","")&amp;IF(LEN(Rules!$C$404)&lt;5,"Keyword under 5 characters - matches too much. ","")&amp;IF(AND(Rules!$D$404&lt;&gt;"",COUNTIF(Cat_Name,Rules!$D$404)=0),"Category is not on the Categories sheet - rows will fall to Review Required. ","")&amp;IF(Rules!$F$404="Broad","Broad scope - deliberately forces Review Required. ","")&amp;IF(Rules!$G$404&lt;&gt;"Yes","Rule is switched OFF. ","")&amp;IF(AND(Rules!$C$404&lt;&gt;"",Rules!$D$404=""),"Keyword with no category. ","")))</f>
        <v/>
      </c>
    </row>
    <row r="404" spans="2:8" x14ac:dyDescent="0.25">
      <c r="B404" s="75" t="str">
        <f>IF(Rules!$C$405="","",Rules!$B$405)</f>
        <v/>
      </c>
      <c r="C404" s="146" t="str">
        <f>IF(Rules!$C$405="","",Rules!$C$405)</f>
        <v/>
      </c>
      <c r="D404" s="146" t="str">
        <f>IF(Rules!$C$405="","",Rules!$D$405)</f>
        <v/>
      </c>
      <c r="E404" s="75" t="str">
        <f>IF(Rules!$C$405="","",Rules!$E$405)</f>
        <v/>
      </c>
      <c r="F404" s="75" t="str">
        <f>IF(Rules!$C$405="","",Rules!$G$405)</f>
        <v/>
      </c>
      <c r="G404" s="147">
        <v>405</v>
      </c>
      <c r="H404" s="148" t="str">
        <f>IF(Rules!$C$405="","",TRIM(IF(COUNTIFS(Rules_Key,Rules!$C$405,Rules_Dir,Rules!$E$405)&gt;1,"Duplicate keyword+direction. ","")&amp;IF(LEN(Rules!$C$405)&lt;5,"Keyword under 5 characters - matches too much. ","")&amp;IF(AND(Rules!$D$405&lt;&gt;"",COUNTIF(Cat_Name,Rules!$D$405)=0),"Category is not on the Categories sheet - rows will fall to Review Required. ","")&amp;IF(Rules!$F$405="Broad","Broad scope - deliberately forces Review Required. ","")&amp;IF(Rules!$G$405&lt;&gt;"Yes","Rule is switched OFF. ","")&amp;IF(AND(Rules!$C$405&lt;&gt;"",Rules!$D$405=""),"Keyword with no category. ","")))</f>
        <v/>
      </c>
    </row>
    <row r="405" spans="2:8" x14ac:dyDescent="0.25">
      <c r="B405" s="73" t="str">
        <f>IF(Rules!$C$406="","",Rules!$B$406)</f>
        <v/>
      </c>
      <c r="C405" s="143" t="str">
        <f>IF(Rules!$C$406="","",Rules!$C$406)</f>
        <v/>
      </c>
      <c r="D405" s="143" t="str">
        <f>IF(Rules!$C$406="","",Rules!$D$406)</f>
        <v/>
      </c>
      <c r="E405" s="73" t="str">
        <f>IF(Rules!$C$406="","",Rules!$E$406)</f>
        <v/>
      </c>
      <c r="F405" s="73" t="str">
        <f>IF(Rules!$C$406="","",Rules!$G$406)</f>
        <v/>
      </c>
      <c r="G405" s="144">
        <v>406</v>
      </c>
      <c r="H405" s="145" t="str">
        <f>IF(Rules!$C$406="","",TRIM(IF(COUNTIFS(Rules_Key,Rules!$C$406,Rules_Dir,Rules!$E$406)&gt;1,"Duplicate keyword+direction. ","")&amp;IF(LEN(Rules!$C$406)&lt;5,"Keyword under 5 characters - matches too much. ","")&amp;IF(AND(Rules!$D$406&lt;&gt;"",COUNTIF(Cat_Name,Rules!$D$406)=0),"Category is not on the Categories sheet - rows will fall to Review Required. ","")&amp;IF(Rules!$F$406="Broad","Broad scope - deliberately forces Review Required. ","")&amp;IF(Rules!$G$406&lt;&gt;"Yes","Rule is switched OFF. ","")&amp;IF(AND(Rules!$C$406&lt;&gt;"",Rules!$D$406=""),"Keyword with no category. ","")))</f>
        <v/>
      </c>
    </row>
    <row r="406" spans="2:8" x14ac:dyDescent="0.25">
      <c r="B406" s="75" t="str">
        <f>IF(Rules!$C$407="","",Rules!$B$407)</f>
        <v/>
      </c>
      <c r="C406" s="146" t="str">
        <f>IF(Rules!$C$407="","",Rules!$C$407)</f>
        <v/>
      </c>
      <c r="D406" s="146" t="str">
        <f>IF(Rules!$C$407="","",Rules!$D$407)</f>
        <v/>
      </c>
      <c r="E406" s="75" t="str">
        <f>IF(Rules!$C$407="","",Rules!$E$407)</f>
        <v/>
      </c>
      <c r="F406" s="75" t="str">
        <f>IF(Rules!$C$407="","",Rules!$G$407)</f>
        <v/>
      </c>
      <c r="G406" s="147">
        <v>407</v>
      </c>
      <c r="H406" s="148" t="str">
        <f>IF(Rules!$C$407="","",TRIM(IF(COUNTIFS(Rules_Key,Rules!$C$407,Rules_Dir,Rules!$E$407)&gt;1,"Duplicate keyword+direction. ","")&amp;IF(LEN(Rules!$C$407)&lt;5,"Keyword under 5 characters - matches too much. ","")&amp;IF(AND(Rules!$D$407&lt;&gt;"",COUNTIF(Cat_Name,Rules!$D$407)=0),"Category is not on the Categories sheet - rows will fall to Review Required. ","")&amp;IF(Rules!$F$407="Broad","Broad scope - deliberately forces Review Required. ","")&amp;IF(Rules!$G$407&lt;&gt;"Yes","Rule is switched OFF. ","")&amp;IF(AND(Rules!$C$407&lt;&gt;"",Rules!$D$407=""),"Keyword with no category. ","")))</f>
        <v/>
      </c>
    </row>
    <row r="407" spans="2:8" x14ac:dyDescent="0.25">
      <c r="B407" s="73" t="str">
        <f>IF(Rules!$C$408="","",Rules!$B$408)</f>
        <v/>
      </c>
      <c r="C407" s="143" t="str">
        <f>IF(Rules!$C$408="","",Rules!$C$408)</f>
        <v/>
      </c>
      <c r="D407" s="143" t="str">
        <f>IF(Rules!$C$408="","",Rules!$D$408)</f>
        <v/>
      </c>
      <c r="E407" s="73" t="str">
        <f>IF(Rules!$C$408="","",Rules!$E$408)</f>
        <v/>
      </c>
      <c r="F407" s="73" t="str">
        <f>IF(Rules!$C$408="","",Rules!$G$408)</f>
        <v/>
      </c>
      <c r="G407" s="144">
        <v>408</v>
      </c>
      <c r="H407" s="145" t="str">
        <f>IF(Rules!$C$408="","",TRIM(IF(COUNTIFS(Rules_Key,Rules!$C$408,Rules_Dir,Rules!$E$408)&gt;1,"Duplicate keyword+direction. ","")&amp;IF(LEN(Rules!$C$408)&lt;5,"Keyword under 5 characters - matches too much. ","")&amp;IF(AND(Rules!$D$408&lt;&gt;"",COUNTIF(Cat_Name,Rules!$D$408)=0),"Category is not on the Categories sheet - rows will fall to Review Required. ","")&amp;IF(Rules!$F$408="Broad","Broad scope - deliberately forces Review Required. ","")&amp;IF(Rules!$G$408&lt;&gt;"Yes","Rule is switched OFF. ","")&amp;IF(AND(Rules!$C$408&lt;&gt;"",Rules!$D$408=""),"Keyword with no category. ","")))</f>
        <v/>
      </c>
    </row>
    <row r="408" spans="2:8" x14ac:dyDescent="0.25">
      <c r="B408" s="75" t="str">
        <f>IF(Rules!$C$409="","",Rules!$B$409)</f>
        <v/>
      </c>
      <c r="C408" s="146" t="str">
        <f>IF(Rules!$C$409="","",Rules!$C$409)</f>
        <v/>
      </c>
      <c r="D408" s="146" t="str">
        <f>IF(Rules!$C$409="","",Rules!$D$409)</f>
        <v/>
      </c>
      <c r="E408" s="75" t="str">
        <f>IF(Rules!$C$409="","",Rules!$E$409)</f>
        <v/>
      </c>
      <c r="F408" s="75" t="str">
        <f>IF(Rules!$C$409="","",Rules!$G$409)</f>
        <v/>
      </c>
      <c r="G408" s="147">
        <v>409</v>
      </c>
      <c r="H408" s="148" t="str">
        <f>IF(Rules!$C$409="","",TRIM(IF(COUNTIFS(Rules_Key,Rules!$C$409,Rules_Dir,Rules!$E$409)&gt;1,"Duplicate keyword+direction. ","")&amp;IF(LEN(Rules!$C$409)&lt;5,"Keyword under 5 characters - matches too much. ","")&amp;IF(AND(Rules!$D$409&lt;&gt;"",COUNTIF(Cat_Name,Rules!$D$409)=0),"Category is not on the Categories sheet - rows will fall to Review Required. ","")&amp;IF(Rules!$F$409="Broad","Broad scope - deliberately forces Review Required. ","")&amp;IF(Rules!$G$409&lt;&gt;"Yes","Rule is switched OFF. ","")&amp;IF(AND(Rules!$C$409&lt;&gt;"",Rules!$D$409=""),"Keyword with no category. ","")))</f>
        <v/>
      </c>
    </row>
    <row r="409" spans="2:8" x14ac:dyDescent="0.25">
      <c r="B409" s="73" t="str">
        <f>IF(Rules!$C$410="","",Rules!$B$410)</f>
        <v/>
      </c>
      <c r="C409" s="143" t="str">
        <f>IF(Rules!$C$410="","",Rules!$C$410)</f>
        <v/>
      </c>
      <c r="D409" s="143" t="str">
        <f>IF(Rules!$C$410="","",Rules!$D$410)</f>
        <v/>
      </c>
      <c r="E409" s="73" t="str">
        <f>IF(Rules!$C$410="","",Rules!$E$410)</f>
        <v/>
      </c>
      <c r="F409" s="73" t="str">
        <f>IF(Rules!$C$410="","",Rules!$G$410)</f>
        <v/>
      </c>
      <c r="G409" s="144">
        <v>410</v>
      </c>
      <c r="H409" s="145" t="str">
        <f>IF(Rules!$C$410="","",TRIM(IF(COUNTIFS(Rules_Key,Rules!$C$410,Rules_Dir,Rules!$E$410)&gt;1,"Duplicate keyword+direction. ","")&amp;IF(LEN(Rules!$C$410)&lt;5,"Keyword under 5 characters - matches too much. ","")&amp;IF(AND(Rules!$D$410&lt;&gt;"",COUNTIF(Cat_Name,Rules!$D$410)=0),"Category is not on the Categories sheet - rows will fall to Review Required. ","")&amp;IF(Rules!$F$410="Broad","Broad scope - deliberately forces Review Required. ","")&amp;IF(Rules!$G$410&lt;&gt;"Yes","Rule is switched OFF. ","")&amp;IF(AND(Rules!$C$410&lt;&gt;"",Rules!$D$410=""),"Keyword with no category. ","")))</f>
        <v/>
      </c>
    </row>
    <row r="410" spans="2:8" x14ac:dyDescent="0.25">
      <c r="B410" s="75" t="str">
        <f>IF(Rules!$C$411="","",Rules!$B$411)</f>
        <v/>
      </c>
      <c r="C410" s="146" t="str">
        <f>IF(Rules!$C$411="","",Rules!$C$411)</f>
        <v/>
      </c>
      <c r="D410" s="146" t="str">
        <f>IF(Rules!$C$411="","",Rules!$D$411)</f>
        <v/>
      </c>
      <c r="E410" s="75" t="str">
        <f>IF(Rules!$C$411="","",Rules!$E$411)</f>
        <v/>
      </c>
      <c r="F410" s="75" t="str">
        <f>IF(Rules!$C$411="","",Rules!$G$411)</f>
        <v/>
      </c>
      <c r="G410" s="147">
        <v>411</v>
      </c>
      <c r="H410" s="148" t="str">
        <f>IF(Rules!$C$411="","",TRIM(IF(COUNTIFS(Rules_Key,Rules!$C$411,Rules_Dir,Rules!$E$411)&gt;1,"Duplicate keyword+direction. ","")&amp;IF(LEN(Rules!$C$411)&lt;5,"Keyword under 5 characters - matches too much. ","")&amp;IF(AND(Rules!$D$411&lt;&gt;"",COUNTIF(Cat_Name,Rules!$D$411)=0),"Category is not on the Categories sheet - rows will fall to Review Required. ","")&amp;IF(Rules!$F$411="Broad","Broad scope - deliberately forces Review Required. ","")&amp;IF(Rules!$G$411&lt;&gt;"Yes","Rule is switched OFF. ","")&amp;IF(AND(Rules!$C$411&lt;&gt;"",Rules!$D$411=""),"Keyword with no category. ","")))</f>
        <v/>
      </c>
    </row>
    <row r="411" spans="2:8" x14ac:dyDescent="0.25">
      <c r="B411" s="73" t="str">
        <f>IF(Rules!$C$412="","",Rules!$B$412)</f>
        <v/>
      </c>
      <c r="C411" s="143" t="str">
        <f>IF(Rules!$C$412="","",Rules!$C$412)</f>
        <v/>
      </c>
      <c r="D411" s="143" t="str">
        <f>IF(Rules!$C$412="","",Rules!$D$412)</f>
        <v/>
      </c>
      <c r="E411" s="73" t="str">
        <f>IF(Rules!$C$412="","",Rules!$E$412)</f>
        <v/>
      </c>
      <c r="F411" s="73" t="str">
        <f>IF(Rules!$C$412="","",Rules!$G$412)</f>
        <v/>
      </c>
      <c r="G411" s="144">
        <v>412</v>
      </c>
      <c r="H411" s="145" t="str">
        <f>IF(Rules!$C$412="","",TRIM(IF(COUNTIFS(Rules_Key,Rules!$C$412,Rules_Dir,Rules!$E$412)&gt;1,"Duplicate keyword+direction. ","")&amp;IF(LEN(Rules!$C$412)&lt;5,"Keyword under 5 characters - matches too much. ","")&amp;IF(AND(Rules!$D$412&lt;&gt;"",COUNTIF(Cat_Name,Rules!$D$412)=0),"Category is not on the Categories sheet - rows will fall to Review Required. ","")&amp;IF(Rules!$F$412="Broad","Broad scope - deliberately forces Review Required. ","")&amp;IF(Rules!$G$412&lt;&gt;"Yes","Rule is switched OFF. ","")&amp;IF(AND(Rules!$C$412&lt;&gt;"",Rules!$D$412=""),"Keyword with no category. ","")))</f>
        <v/>
      </c>
    </row>
    <row r="412" spans="2:8" x14ac:dyDescent="0.25">
      <c r="B412" s="75" t="str">
        <f>IF(Rules!$C$413="","",Rules!$B$413)</f>
        <v/>
      </c>
      <c r="C412" s="146" t="str">
        <f>IF(Rules!$C$413="","",Rules!$C$413)</f>
        <v/>
      </c>
      <c r="D412" s="146" t="str">
        <f>IF(Rules!$C$413="","",Rules!$D$413)</f>
        <v/>
      </c>
      <c r="E412" s="75" t="str">
        <f>IF(Rules!$C$413="","",Rules!$E$413)</f>
        <v/>
      </c>
      <c r="F412" s="75" t="str">
        <f>IF(Rules!$C$413="","",Rules!$G$413)</f>
        <v/>
      </c>
      <c r="G412" s="147">
        <v>413</v>
      </c>
      <c r="H412" s="148" t="str">
        <f>IF(Rules!$C$413="","",TRIM(IF(COUNTIFS(Rules_Key,Rules!$C$413,Rules_Dir,Rules!$E$413)&gt;1,"Duplicate keyword+direction. ","")&amp;IF(LEN(Rules!$C$413)&lt;5,"Keyword under 5 characters - matches too much. ","")&amp;IF(AND(Rules!$D$413&lt;&gt;"",COUNTIF(Cat_Name,Rules!$D$413)=0),"Category is not on the Categories sheet - rows will fall to Review Required. ","")&amp;IF(Rules!$F$413="Broad","Broad scope - deliberately forces Review Required. ","")&amp;IF(Rules!$G$413&lt;&gt;"Yes","Rule is switched OFF. ","")&amp;IF(AND(Rules!$C$413&lt;&gt;"",Rules!$D$413=""),"Keyword with no category. ","")))</f>
        <v/>
      </c>
    </row>
    <row r="413" spans="2:8" x14ac:dyDescent="0.25">
      <c r="B413" s="73" t="str">
        <f>IF(Rules!$C$414="","",Rules!$B$414)</f>
        <v/>
      </c>
      <c r="C413" s="143" t="str">
        <f>IF(Rules!$C$414="","",Rules!$C$414)</f>
        <v/>
      </c>
      <c r="D413" s="143" t="str">
        <f>IF(Rules!$C$414="","",Rules!$D$414)</f>
        <v/>
      </c>
      <c r="E413" s="73" t="str">
        <f>IF(Rules!$C$414="","",Rules!$E$414)</f>
        <v/>
      </c>
      <c r="F413" s="73" t="str">
        <f>IF(Rules!$C$414="","",Rules!$G$414)</f>
        <v/>
      </c>
      <c r="G413" s="144">
        <v>414</v>
      </c>
      <c r="H413" s="145" t="str">
        <f>IF(Rules!$C$414="","",TRIM(IF(COUNTIFS(Rules_Key,Rules!$C$414,Rules_Dir,Rules!$E$414)&gt;1,"Duplicate keyword+direction. ","")&amp;IF(LEN(Rules!$C$414)&lt;5,"Keyword under 5 characters - matches too much. ","")&amp;IF(AND(Rules!$D$414&lt;&gt;"",COUNTIF(Cat_Name,Rules!$D$414)=0),"Category is not on the Categories sheet - rows will fall to Review Required. ","")&amp;IF(Rules!$F$414="Broad","Broad scope - deliberately forces Review Required. ","")&amp;IF(Rules!$G$414&lt;&gt;"Yes","Rule is switched OFF. ","")&amp;IF(AND(Rules!$C$414&lt;&gt;"",Rules!$D$414=""),"Keyword with no category. ","")))</f>
        <v/>
      </c>
    </row>
    <row r="414" spans="2:8" x14ac:dyDescent="0.25">
      <c r="B414" s="75" t="str">
        <f>IF(Rules!$C$415="","",Rules!$B$415)</f>
        <v/>
      </c>
      <c r="C414" s="146" t="str">
        <f>IF(Rules!$C$415="","",Rules!$C$415)</f>
        <v/>
      </c>
      <c r="D414" s="146" t="str">
        <f>IF(Rules!$C$415="","",Rules!$D$415)</f>
        <v/>
      </c>
      <c r="E414" s="75" t="str">
        <f>IF(Rules!$C$415="","",Rules!$E$415)</f>
        <v/>
      </c>
      <c r="F414" s="75" t="str">
        <f>IF(Rules!$C$415="","",Rules!$G$415)</f>
        <v/>
      </c>
      <c r="G414" s="147">
        <v>415</v>
      </c>
      <c r="H414" s="148" t="str">
        <f>IF(Rules!$C$415="","",TRIM(IF(COUNTIFS(Rules_Key,Rules!$C$415,Rules_Dir,Rules!$E$415)&gt;1,"Duplicate keyword+direction. ","")&amp;IF(LEN(Rules!$C$415)&lt;5,"Keyword under 5 characters - matches too much. ","")&amp;IF(AND(Rules!$D$415&lt;&gt;"",COUNTIF(Cat_Name,Rules!$D$415)=0),"Category is not on the Categories sheet - rows will fall to Review Required. ","")&amp;IF(Rules!$F$415="Broad","Broad scope - deliberately forces Review Required. ","")&amp;IF(Rules!$G$415&lt;&gt;"Yes","Rule is switched OFF. ","")&amp;IF(AND(Rules!$C$415&lt;&gt;"",Rules!$D$415=""),"Keyword with no category. ","")))</f>
        <v/>
      </c>
    </row>
    <row r="415" spans="2:8" x14ac:dyDescent="0.25">
      <c r="B415" s="73" t="str">
        <f>IF(Rules!$C$416="","",Rules!$B$416)</f>
        <v/>
      </c>
      <c r="C415" s="143" t="str">
        <f>IF(Rules!$C$416="","",Rules!$C$416)</f>
        <v/>
      </c>
      <c r="D415" s="143" t="str">
        <f>IF(Rules!$C$416="","",Rules!$D$416)</f>
        <v/>
      </c>
      <c r="E415" s="73" t="str">
        <f>IF(Rules!$C$416="","",Rules!$E$416)</f>
        <v/>
      </c>
      <c r="F415" s="73" t="str">
        <f>IF(Rules!$C$416="","",Rules!$G$416)</f>
        <v/>
      </c>
      <c r="G415" s="144">
        <v>416</v>
      </c>
      <c r="H415" s="145" t="str">
        <f>IF(Rules!$C$416="","",TRIM(IF(COUNTIFS(Rules_Key,Rules!$C$416,Rules_Dir,Rules!$E$416)&gt;1,"Duplicate keyword+direction. ","")&amp;IF(LEN(Rules!$C$416)&lt;5,"Keyword under 5 characters - matches too much. ","")&amp;IF(AND(Rules!$D$416&lt;&gt;"",COUNTIF(Cat_Name,Rules!$D$416)=0),"Category is not on the Categories sheet - rows will fall to Review Required. ","")&amp;IF(Rules!$F$416="Broad","Broad scope - deliberately forces Review Required. ","")&amp;IF(Rules!$G$416&lt;&gt;"Yes","Rule is switched OFF. ","")&amp;IF(AND(Rules!$C$416&lt;&gt;"",Rules!$D$416=""),"Keyword with no category. ","")))</f>
        <v/>
      </c>
    </row>
    <row r="416" spans="2:8" x14ac:dyDescent="0.25">
      <c r="B416" s="75" t="str">
        <f>IF(Rules!$C$417="","",Rules!$B$417)</f>
        <v/>
      </c>
      <c r="C416" s="146" t="str">
        <f>IF(Rules!$C$417="","",Rules!$C$417)</f>
        <v/>
      </c>
      <c r="D416" s="146" t="str">
        <f>IF(Rules!$C$417="","",Rules!$D$417)</f>
        <v/>
      </c>
      <c r="E416" s="75" t="str">
        <f>IF(Rules!$C$417="","",Rules!$E$417)</f>
        <v/>
      </c>
      <c r="F416" s="75" t="str">
        <f>IF(Rules!$C$417="","",Rules!$G$417)</f>
        <v/>
      </c>
      <c r="G416" s="147">
        <v>417</v>
      </c>
      <c r="H416" s="148" t="str">
        <f>IF(Rules!$C$417="","",TRIM(IF(COUNTIFS(Rules_Key,Rules!$C$417,Rules_Dir,Rules!$E$417)&gt;1,"Duplicate keyword+direction. ","")&amp;IF(LEN(Rules!$C$417)&lt;5,"Keyword under 5 characters - matches too much. ","")&amp;IF(AND(Rules!$D$417&lt;&gt;"",COUNTIF(Cat_Name,Rules!$D$417)=0),"Category is not on the Categories sheet - rows will fall to Review Required. ","")&amp;IF(Rules!$F$417="Broad","Broad scope - deliberately forces Review Required. ","")&amp;IF(Rules!$G$417&lt;&gt;"Yes","Rule is switched OFF. ","")&amp;IF(AND(Rules!$C$417&lt;&gt;"",Rules!$D$417=""),"Keyword with no category. ","")))</f>
        <v/>
      </c>
    </row>
    <row r="417" spans="2:8" x14ac:dyDescent="0.25">
      <c r="B417" s="73" t="str">
        <f>IF(Rules!$C$418="","",Rules!$B$418)</f>
        <v/>
      </c>
      <c r="C417" s="143" t="str">
        <f>IF(Rules!$C$418="","",Rules!$C$418)</f>
        <v/>
      </c>
      <c r="D417" s="143" t="str">
        <f>IF(Rules!$C$418="","",Rules!$D$418)</f>
        <v/>
      </c>
      <c r="E417" s="73" t="str">
        <f>IF(Rules!$C$418="","",Rules!$E$418)</f>
        <v/>
      </c>
      <c r="F417" s="73" t="str">
        <f>IF(Rules!$C$418="","",Rules!$G$418)</f>
        <v/>
      </c>
      <c r="G417" s="144">
        <v>418</v>
      </c>
      <c r="H417" s="145" t="str">
        <f>IF(Rules!$C$418="","",TRIM(IF(COUNTIFS(Rules_Key,Rules!$C$418,Rules_Dir,Rules!$E$418)&gt;1,"Duplicate keyword+direction. ","")&amp;IF(LEN(Rules!$C$418)&lt;5,"Keyword under 5 characters - matches too much. ","")&amp;IF(AND(Rules!$D$418&lt;&gt;"",COUNTIF(Cat_Name,Rules!$D$418)=0),"Category is not on the Categories sheet - rows will fall to Review Required. ","")&amp;IF(Rules!$F$418="Broad","Broad scope - deliberately forces Review Required. ","")&amp;IF(Rules!$G$418&lt;&gt;"Yes","Rule is switched OFF. ","")&amp;IF(AND(Rules!$C$418&lt;&gt;"",Rules!$D$418=""),"Keyword with no category. ","")))</f>
        <v/>
      </c>
    </row>
    <row r="418" spans="2:8" x14ac:dyDescent="0.25">
      <c r="B418" s="75" t="str">
        <f>IF(Rules!$C$419="","",Rules!$B$419)</f>
        <v/>
      </c>
      <c r="C418" s="146" t="str">
        <f>IF(Rules!$C$419="","",Rules!$C$419)</f>
        <v/>
      </c>
      <c r="D418" s="146" t="str">
        <f>IF(Rules!$C$419="","",Rules!$D$419)</f>
        <v/>
      </c>
      <c r="E418" s="75" t="str">
        <f>IF(Rules!$C$419="","",Rules!$E$419)</f>
        <v/>
      </c>
      <c r="F418" s="75" t="str">
        <f>IF(Rules!$C$419="","",Rules!$G$419)</f>
        <v/>
      </c>
      <c r="G418" s="147">
        <v>419</v>
      </c>
      <c r="H418" s="148" t="str">
        <f>IF(Rules!$C$419="","",TRIM(IF(COUNTIFS(Rules_Key,Rules!$C$419,Rules_Dir,Rules!$E$419)&gt;1,"Duplicate keyword+direction. ","")&amp;IF(LEN(Rules!$C$419)&lt;5,"Keyword under 5 characters - matches too much. ","")&amp;IF(AND(Rules!$D$419&lt;&gt;"",COUNTIF(Cat_Name,Rules!$D$419)=0),"Category is not on the Categories sheet - rows will fall to Review Required. ","")&amp;IF(Rules!$F$419="Broad","Broad scope - deliberately forces Review Required. ","")&amp;IF(Rules!$G$419&lt;&gt;"Yes","Rule is switched OFF. ","")&amp;IF(AND(Rules!$C$419&lt;&gt;"",Rules!$D$419=""),"Keyword with no category. ","")))</f>
        <v/>
      </c>
    </row>
    <row r="419" spans="2:8" x14ac:dyDescent="0.25">
      <c r="B419" s="73" t="str">
        <f>IF(Rules!$C$420="","",Rules!$B$420)</f>
        <v/>
      </c>
      <c r="C419" s="143" t="str">
        <f>IF(Rules!$C$420="","",Rules!$C$420)</f>
        <v/>
      </c>
      <c r="D419" s="143" t="str">
        <f>IF(Rules!$C$420="","",Rules!$D$420)</f>
        <v/>
      </c>
      <c r="E419" s="73" t="str">
        <f>IF(Rules!$C$420="","",Rules!$E$420)</f>
        <v/>
      </c>
      <c r="F419" s="73" t="str">
        <f>IF(Rules!$C$420="","",Rules!$G$420)</f>
        <v/>
      </c>
      <c r="G419" s="144">
        <v>420</v>
      </c>
      <c r="H419" s="145" t="str">
        <f>IF(Rules!$C$420="","",TRIM(IF(COUNTIFS(Rules_Key,Rules!$C$420,Rules_Dir,Rules!$E$420)&gt;1,"Duplicate keyword+direction. ","")&amp;IF(LEN(Rules!$C$420)&lt;5,"Keyword under 5 characters - matches too much. ","")&amp;IF(AND(Rules!$D$420&lt;&gt;"",COUNTIF(Cat_Name,Rules!$D$420)=0),"Category is not on the Categories sheet - rows will fall to Review Required. ","")&amp;IF(Rules!$F$420="Broad","Broad scope - deliberately forces Review Required. ","")&amp;IF(Rules!$G$420&lt;&gt;"Yes","Rule is switched OFF. ","")&amp;IF(AND(Rules!$C$420&lt;&gt;"",Rules!$D$420=""),"Keyword with no category. ","")))</f>
        <v/>
      </c>
    </row>
    <row r="420" spans="2:8" x14ac:dyDescent="0.25">
      <c r="B420" s="75" t="str">
        <f>IF(Rules!$C$421="","",Rules!$B$421)</f>
        <v/>
      </c>
      <c r="C420" s="146" t="str">
        <f>IF(Rules!$C$421="","",Rules!$C$421)</f>
        <v/>
      </c>
      <c r="D420" s="146" t="str">
        <f>IF(Rules!$C$421="","",Rules!$D$421)</f>
        <v/>
      </c>
      <c r="E420" s="75" t="str">
        <f>IF(Rules!$C$421="","",Rules!$E$421)</f>
        <v/>
      </c>
      <c r="F420" s="75" t="str">
        <f>IF(Rules!$C$421="","",Rules!$G$421)</f>
        <v/>
      </c>
      <c r="G420" s="147">
        <v>421</v>
      </c>
      <c r="H420" s="148" t="str">
        <f>IF(Rules!$C$421="","",TRIM(IF(COUNTIFS(Rules_Key,Rules!$C$421,Rules_Dir,Rules!$E$421)&gt;1,"Duplicate keyword+direction. ","")&amp;IF(LEN(Rules!$C$421)&lt;5,"Keyword under 5 characters - matches too much. ","")&amp;IF(AND(Rules!$D$421&lt;&gt;"",COUNTIF(Cat_Name,Rules!$D$421)=0),"Category is not on the Categories sheet - rows will fall to Review Required. ","")&amp;IF(Rules!$F$421="Broad","Broad scope - deliberately forces Review Required. ","")&amp;IF(Rules!$G$421&lt;&gt;"Yes","Rule is switched OFF. ","")&amp;IF(AND(Rules!$C$421&lt;&gt;"",Rules!$D$421=""),"Keyword with no category. ","")))</f>
        <v/>
      </c>
    </row>
    <row r="421" spans="2:8" x14ac:dyDescent="0.25">
      <c r="B421" s="73" t="str">
        <f>IF(Rules!$C$422="","",Rules!$B$422)</f>
        <v/>
      </c>
      <c r="C421" s="143" t="str">
        <f>IF(Rules!$C$422="","",Rules!$C$422)</f>
        <v/>
      </c>
      <c r="D421" s="143" t="str">
        <f>IF(Rules!$C$422="","",Rules!$D$422)</f>
        <v/>
      </c>
      <c r="E421" s="73" t="str">
        <f>IF(Rules!$C$422="","",Rules!$E$422)</f>
        <v/>
      </c>
      <c r="F421" s="73" t="str">
        <f>IF(Rules!$C$422="","",Rules!$G$422)</f>
        <v/>
      </c>
      <c r="G421" s="144">
        <v>422</v>
      </c>
      <c r="H421" s="145" t="str">
        <f>IF(Rules!$C$422="","",TRIM(IF(COUNTIFS(Rules_Key,Rules!$C$422,Rules_Dir,Rules!$E$422)&gt;1,"Duplicate keyword+direction. ","")&amp;IF(LEN(Rules!$C$422)&lt;5,"Keyword under 5 characters - matches too much. ","")&amp;IF(AND(Rules!$D$422&lt;&gt;"",COUNTIF(Cat_Name,Rules!$D$422)=0),"Category is not on the Categories sheet - rows will fall to Review Required. ","")&amp;IF(Rules!$F$422="Broad","Broad scope - deliberately forces Review Required. ","")&amp;IF(Rules!$G$422&lt;&gt;"Yes","Rule is switched OFF. ","")&amp;IF(AND(Rules!$C$422&lt;&gt;"",Rules!$D$422=""),"Keyword with no category. ","")))</f>
        <v/>
      </c>
    </row>
    <row r="422" spans="2:8" x14ac:dyDescent="0.25">
      <c r="B422" s="75" t="str">
        <f>IF(Rules!$C$423="","",Rules!$B$423)</f>
        <v/>
      </c>
      <c r="C422" s="146" t="str">
        <f>IF(Rules!$C$423="","",Rules!$C$423)</f>
        <v/>
      </c>
      <c r="D422" s="146" t="str">
        <f>IF(Rules!$C$423="","",Rules!$D$423)</f>
        <v/>
      </c>
      <c r="E422" s="75" t="str">
        <f>IF(Rules!$C$423="","",Rules!$E$423)</f>
        <v/>
      </c>
      <c r="F422" s="75" t="str">
        <f>IF(Rules!$C$423="","",Rules!$G$423)</f>
        <v/>
      </c>
      <c r="G422" s="147">
        <v>423</v>
      </c>
      <c r="H422" s="148" t="str">
        <f>IF(Rules!$C$423="","",TRIM(IF(COUNTIFS(Rules_Key,Rules!$C$423,Rules_Dir,Rules!$E$423)&gt;1,"Duplicate keyword+direction. ","")&amp;IF(LEN(Rules!$C$423)&lt;5,"Keyword under 5 characters - matches too much. ","")&amp;IF(AND(Rules!$D$423&lt;&gt;"",COUNTIF(Cat_Name,Rules!$D$423)=0),"Category is not on the Categories sheet - rows will fall to Review Required. ","")&amp;IF(Rules!$F$423="Broad","Broad scope - deliberately forces Review Required. ","")&amp;IF(Rules!$G$423&lt;&gt;"Yes","Rule is switched OFF. ","")&amp;IF(AND(Rules!$C$423&lt;&gt;"",Rules!$D$423=""),"Keyword with no category. ","")))</f>
        <v/>
      </c>
    </row>
    <row r="423" spans="2:8" x14ac:dyDescent="0.25">
      <c r="B423" s="73" t="str">
        <f>IF(Rules!$C$424="","",Rules!$B$424)</f>
        <v/>
      </c>
      <c r="C423" s="143" t="str">
        <f>IF(Rules!$C$424="","",Rules!$C$424)</f>
        <v/>
      </c>
      <c r="D423" s="143" t="str">
        <f>IF(Rules!$C$424="","",Rules!$D$424)</f>
        <v/>
      </c>
      <c r="E423" s="73" t="str">
        <f>IF(Rules!$C$424="","",Rules!$E$424)</f>
        <v/>
      </c>
      <c r="F423" s="73" t="str">
        <f>IF(Rules!$C$424="","",Rules!$G$424)</f>
        <v/>
      </c>
      <c r="G423" s="144">
        <v>424</v>
      </c>
      <c r="H423" s="145" t="str">
        <f>IF(Rules!$C$424="","",TRIM(IF(COUNTIFS(Rules_Key,Rules!$C$424,Rules_Dir,Rules!$E$424)&gt;1,"Duplicate keyword+direction. ","")&amp;IF(LEN(Rules!$C$424)&lt;5,"Keyword under 5 characters - matches too much. ","")&amp;IF(AND(Rules!$D$424&lt;&gt;"",COUNTIF(Cat_Name,Rules!$D$424)=0),"Category is not on the Categories sheet - rows will fall to Review Required. ","")&amp;IF(Rules!$F$424="Broad","Broad scope - deliberately forces Review Required. ","")&amp;IF(Rules!$G$424&lt;&gt;"Yes","Rule is switched OFF. ","")&amp;IF(AND(Rules!$C$424&lt;&gt;"",Rules!$D$424=""),"Keyword with no category. ","")))</f>
        <v/>
      </c>
    </row>
    <row r="424" spans="2:8" x14ac:dyDescent="0.25">
      <c r="B424" s="75" t="str">
        <f>IF(Rules!$C$425="","",Rules!$B$425)</f>
        <v/>
      </c>
      <c r="C424" s="146" t="str">
        <f>IF(Rules!$C$425="","",Rules!$C$425)</f>
        <v/>
      </c>
      <c r="D424" s="146" t="str">
        <f>IF(Rules!$C$425="","",Rules!$D$425)</f>
        <v/>
      </c>
      <c r="E424" s="75" t="str">
        <f>IF(Rules!$C$425="","",Rules!$E$425)</f>
        <v/>
      </c>
      <c r="F424" s="75" t="str">
        <f>IF(Rules!$C$425="","",Rules!$G$425)</f>
        <v/>
      </c>
      <c r="G424" s="147">
        <v>425</v>
      </c>
      <c r="H424" s="148" t="str">
        <f>IF(Rules!$C$425="","",TRIM(IF(COUNTIFS(Rules_Key,Rules!$C$425,Rules_Dir,Rules!$E$425)&gt;1,"Duplicate keyword+direction. ","")&amp;IF(LEN(Rules!$C$425)&lt;5,"Keyword under 5 characters - matches too much. ","")&amp;IF(AND(Rules!$D$425&lt;&gt;"",COUNTIF(Cat_Name,Rules!$D$425)=0),"Category is not on the Categories sheet - rows will fall to Review Required. ","")&amp;IF(Rules!$F$425="Broad","Broad scope - deliberately forces Review Required. ","")&amp;IF(Rules!$G$425&lt;&gt;"Yes","Rule is switched OFF. ","")&amp;IF(AND(Rules!$C$425&lt;&gt;"",Rules!$D$425=""),"Keyword with no category. ","")))</f>
        <v/>
      </c>
    </row>
    <row r="425" spans="2:8" x14ac:dyDescent="0.25">
      <c r="B425" s="73" t="str">
        <f>IF(Rules!$C$426="","",Rules!$B$426)</f>
        <v/>
      </c>
      <c r="C425" s="143" t="str">
        <f>IF(Rules!$C$426="","",Rules!$C$426)</f>
        <v/>
      </c>
      <c r="D425" s="143" t="str">
        <f>IF(Rules!$C$426="","",Rules!$D$426)</f>
        <v/>
      </c>
      <c r="E425" s="73" t="str">
        <f>IF(Rules!$C$426="","",Rules!$E$426)</f>
        <v/>
      </c>
      <c r="F425" s="73" t="str">
        <f>IF(Rules!$C$426="","",Rules!$G$426)</f>
        <v/>
      </c>
      <c r="G425" s="144">
        <v>426</v>
      </c>
      <c r="H425" s="145" t="str">
        <f>IF(Rules!$C$426="","",TRIM(IF(COUNTIFS(Rules_Key,Rules!$C$426,Rules_Dir,Rules!$E$426)&gt;1,"Duplicate keyword+direction. ","")&amp;IF(LEN(Rules!$C$426)&lt;5,"Keyword under 5 characters - matches too much. ","")&amp;IF(AND(Rules!$D$426&lt;&gt;"",COUNTIF(Cat_Name,Rules!$D$426)=0),"Category is not on the Categories sheet - rows will fall to Review Required. ","")&amp;IF(Rules!$F$426="Broad","Broad scope - deliberately forces Review Required. ","")&amp;IF(Rules!$G$426&lt;&gt;"Yes","Rule is switched OFF. ","")&amp;IF(AND(Rules!$C$426&lt;&gt;"",Rules!$D$426=""),"Keyword with no category. ","")))</f>
        <v/>
      </c>
    </row>
    <row r="426" spans="2:8" x14ac:dyDescent="0.25">
      <c r="B426" s="75" t="str">
        <f>IF(Rules!$C$427="","",Rules!$B$427)</f>
        <v/>
      </c>
      <c r="C426" s="146" t="str">
        <f>IF(Rules!$C$427="","",Rules!$C$427)</f>
        <v/>
      </c>
      <c r="D426" s="146" t="str">
        <f>IF(Rules!$C$427="","",Rules!$D$427)</f>
        <v/>
      </c>
      <c r="E426" s="75" t="str">
        <f>IF(Rules!$C$427="","",Rules!$E$427)</f>
        <v/>
      </c>
      <c r="F426" s="75" t="str">
        <f>IF(Rules!$C$427="","",Rules!$G$427)</f>
        <v/>
      </c>
      <c r="G426" s="147">
        <v>427</v>
      </c>
      <c r="H426" s="148" t="str">
        <f>IF(Rules!$C$427="","",TRIM(IF(COUNTIFS(Rules_Key,Rules!$C$427,Rules_Dir,Rules!$E$427)&gt;1,"Duplicate keyword+direction. ","")&amp;IF(LEN(Rules!$C$427)&lt;5,"Keyword under 5 characters - matches too much. ","")&amp;IF(AND(Rules!$D$427&lt;&gt;"",COUNTIF(Cat_Name,Rules!$D$427)=0),"Category is not on the Categories sheet - rows will fall to Review Required. ","")&amp;IF(Rules!$F$427="Broad","Broad scope - deliberately forces Review Required. ","")&amp;IF(Rules!$G$427&lt;&gt;"Yes","Rule is switched OFF. ","")&amp;IF(AND(Rules!$C$427&lt;&gt;"",Rules!$D$427=""),"Keyword with no category. ","")))</f>
        <v/>
      </c>
    </row>
    <row r="427" spans="2:8" x14ac:dyDescent="0.25">
      <c r="B427" s="73" t="str">
        <f>IF(Rules!$C$428="","",Rules!$B$428)</f>
        <v/>
      </c>
      <c r="C427" s="143" t="str">
        <f>IF(Rules!$C$428="","",Rules!$C$428)</f>
        <v/>
      </c>
      <c r="D427" s="143" t="str">
        <f>IF(Rules!$C$428="","",Rules!$D$428)</f>
        <v/>
      </c>
      <c r="E427" s="73" t="str">
        <f>IF(Rules!$C$428="","",Rules!$E$428)</f>
        <v/>
      </c>
      <c r="F427" s="73" t="str">
        <f>IF(Rules!$C$428="","",Rules!$G$428)</f>
        <v/>
      </c>
      <c r="G427" s="144">
        <v>428</v>
      </c>
      <c r="H427" s="145" t="str">
        <f>IF(Rules!$C$428="","",TRIM(IF(COUNTIFS(Rules_Key,Rules!$C$428,Rules_Dir,Rules!$E$428)&gt;1,"Duplicate keyword+direction. ","")&amp;IF(LEN(Rules!$C$428)&lt;5,"Keyword under 5 characters - matches too much. ","")&amp;IF(AND(Rules!$D$428&lt;&gt;"",COUNTIF(Cat_Name,Rules!$D$428)=0),"Category is not on the Categories sheet - rows will fall to Review Required. ","")&amp;IF(Rules!$F$428="Broad","Broad scope - deliberately forces Review Required. ","")&amp;IF(Rules!$G$428&lt;&gt;"Yes","Rule is switched OFF. ","")&amp;IF(AND(Rules!$C$428&lt;&gt;"",Rules!$D$428=""),"Keyword with no category. ","")))</f>
        <v/>
      </c>
    </row>
    <row r="428" spans="2:8" x14ac:dyDescent="0.25">
      <c r="B428" s="75" t="str">
        <f>IF(Rules!$C$429="","",Rules!$B$429)</f>
        <v/>
      </c>
      <c r="C428" s="146" t="str">
        <f>IF(Rules!$C$429="","",Rules!$C$429)</f>
        <v/>
      </c>
      <c r="D428" s="146" t="str">
        <f>IF(Rules!$C$429="","",Rules!$D$429)</f>
        <v/>
      </c>
      <c r="E428" s="75" t="str">
        <f>IF(Rules!$C$429="","",Rules!$E$429)</f>
        <v/>
      </c>
      <c r="F428" s="75" t="str">
        <f>IF(Rules!$C$429="","",Rules!$G$429)</f>
        <v/>
      </c>
      <c r="G428" s="147">
        <v>429</v>
      </c>
      <c r="H428" s="148" t="str">
        <f>IF(Rules!$C$429="","",TRIM(IF(COUNTIFS(Rules_Key,Rules!$C$429,Rules_Dir,Rules!$E$429)&gt;1,"Duplicate keyword+direction. ","")&amp;IF(LEN(Rules!$C$429)&lt;5,"Keyword under 5 characters - matches too much. ","")&amp;IF(AND(Rules!$D$429&lt;&gt;"",COUNTIF(Cat_Name,Rules!$D$429)=0),"Category is not on the Categories sheet - rows will fall to Review Required. ","")&amp;IF(Rules!$F$429="Broad","Broad scope - deliberately forces Review Required. ","")&amp;IF(Rules!$G$429&lt;&gt;"Yes","Rule is switched OFF. ","")&amp;IF(AND(Rules!$C$429&lt;&gt;"",Rules!$D$429=""),"Keyword with no category. ","")))</f>
        <v/>
      </c>
    </row>
    <row r="429" spans="2:8" x14ac:dyDescent="0.25">
      <c r="B429" s="73" t="str">
        <f>IF(Rules!$C$430="","",Rules!$B$430)</f>
        <v/>
      </c>
      <c r="C429" s="143" t="str">
        <f>IF(Rules!$C$430="","",Rules!$C$430)</f>
        <v/>
      </c>
      <c r="D429" s="143" t="str">
        <f>IF(Rules!$C$430="","",Rules!$D$430)</f>
        <v/>
      </c>
      <c r="E429" s="73" t="str">
        <f>IF(Rules!$C$430="","",Rules!$E$430)</f>
        <v/>
      </c>
      <c r="F429" s="73" t="str">
        <f>IF(Rules!$C$430="","",Rules!$G$430)</f>
        <v/>
      </c>
      <c r="G429" s="144">
        <v>430</v>
      </c>
      <c r="H429" s="145" t="str">
        <f>IF(Rules!$C$430="","",TRIM(IF(COUNTIFS(Rules_Key,Rules!$C$430,Rules_Dir,Rules!$E$430)&gt;1,"Duplicate keyword+direction. ","")&amp;IF(LEN(Rules!$C$430)&lt;5,"Keyword under 5 characters - matches too much. ","")&amp;IF(AND(Rules!$D$430&lt;&gt;"",COUNTIF(Cat_Name,Rules!$D$430)=0),"Category is not on the Categories sheet - rows will fall to Review Required. ","")&amp;IF(Rules!$F$430="Broad","Broad scope - deliberately forces Review Required. ","")&amp;IF(Rules!$G$430&lt;&gt;"Yes","Rule is switched OFF. ","")&amp;IF(AND(Rules!$C$430&lt;&gt;"",Rules!$D$430=""),"Keyword with no category. ","")))</f>
        <v/>
      </c>
    </row>
    <row r="430" spans="2:8" x14ac:dyDescent="0.25">
      <c r="B430" s="75" t="str">
        <f>IF(Rules!$C$431="","",Rules!$B$431)</f>
        <v/>
      </c>
      <c r="C430" s="146" t="str">
        <f>IF(Rules!$C$431="","",Rules!$C$431)</f>
        <v/>
      </c>
      <c r="D430" s="146" t="str">
        <f>IF(Rules!$C$431="","",Rules!$D$431)</f>
        <v/>
      </c>
      <c r="E430" s="75" t="str">
        <f>IF(Rules!$C$431="","",Rules!$E$431)</f>
        <v/>
      </c>
      <c r="F430" s="75" t="str">
        <f>IF(Rules!$C$431="","",Rules!$G$431)</f>
        <v/>
      </c>
      <c r="G430" s="147">
        <v>431</v>
      </c>
      <c r="H430" s="148" t="str">
        <f>IF(Rules!$C$431="","",TRIM(IF(COUNTIFS(Rules_Key,Rules!$C$431,Rules_Dir,Rules!$E$431)&gt;1,"Duplicate keyword+direction. ","")&amp;IF(LEN(Rules!$C$431)&lt;5,"Keyword under 5 characters - matches too much. ","")&amp;IF(AND(Rules!$D$431&lt;&gt;"",COUNTIF(Cat_Name,Rules!$D$431)=0),"Category is not on the Categories sheet - rows will fall to Review Required. ","")&amp;IF(Rules!$F$431="Broad","Broad scope - deliberately forces Review Required. ","")&amp;IF(Rules!$G$431&lt;&gt;"Yes","Rule is switched OFF. ","")&amp;IF(AND(Rules!$C$431&lt;&gt;"",Rules!$D$431=""),"Keyword with no category. ","")))</f>
        <v/>
      </c>
    </row>
    <row r="431" spans="2:8" x14ac:dyDescent="0.25">
      <c r="B431" s="73" t="str">
        <f>IF(Rules!$C$432="","",Rules!$B$432)</f>
        <v/>
      </c>
      <c r="C431" s="143" t="str">
        <f>IF(Rules!$C$432="","",Rules!$C$432)</f>
        <v/>
      </c>
      <c r="D431" s="143" t="str">
        <f>IF(Rules!$C$432="","",Rules!$D$432)</f>
        <v/>
      </c>
      <c r="E431" s="73" t="str">
        <f>IF(Rules!$C$432="","",Rules!$E$432)</f>
        <v/>
      </c>
      <c r="F431" s="73" t="str">
        <f>IF(Rules!$C$432="","",Rules!$G$432)</f>
        <v/>
      </c>
      <c r="G431" s="144">
        <v>432</v>
      </c>
      <c r="H431" s="145" t="str">
        <f>IF(Rules!$C$432="","",TRIM(IF(COUNTIFS(Rules_Key,Rules!$C$432,Rules_Dir,Rules!$E$432)&gt;1,"Duplicate keyword+direction. ","")&amp;IF(LEN(Rules!$C$432)&lt;5,"Keyword under 5 characters - matches too much. ","")&amp;IF(AND(Rules!$D$432&lt;&gt;"",COUNTIF(Cat_Name,Rules!$D$432)=0),"Category is not on the Categories sheet - rows will fall to Review Required. ","")&amp;IF(Rules!$F$432="Broad","Broad scope - deliberately forces Review Required. ","")&amp;IF(Rules!$G$432&lt;&gt;"Yes","Rule is switched OFF. ","")&amp;IF(AND(Rules!$C$432&lt;&gt;"",Rules!$D$432=""),"Keyword with no category. ","")))</f>
        <v/>
      </c>
    </row>
    <row r="432" spans="2:8" x14ac:dyDescent="0.25">
      <c r="B432" s="75" t="str">
        <f>IF(Rules!$C$433="","",Rules!$B$433)</f>
        <v/>
      </c>
      <c r="C432" s="146" t="str">
        <f>IF(Rules!$C$433="","",Rules!$C$433)</f>
        <v/>
      </c>
      <c r="D432" s="146" t="str">
        <f>IF(Rules!$C$433="","",Rules!$D$433)</f>
        <v/>
      </c>
      <c r="E432" s="75" t="str">
        <f>IF(Rules!$C$433="","",Rules!$E$433)</f>
        <v/>
      </c>
      <c r="F432" s="75" t="str">
        <f>IF(Rules!$C$433="","",Rules!$G$433)</f>
        <v/>
      </c>
      <c r="G432" s="147">
        <v>433</v>
      </c>
      <c r="H432" s="148" t="str">
        <f>IF(Rules!$C$433="","",TRIM(IF(COUNTIFS(Rules_Key,Rules!$C$433,Rules_Dir,Rules!$E$433)&gt;1,"Duplicate keyword+direction. ","")&amp;IF(LEN(Rules!$C$433)&lt;5,"Keyword under 5 characters - matches too much. ","")&amp;IF(AND(Rules!$D$433&lt;&gt;"",COUNTIF(Cat_Name,Rules!$D$433)=0),"Category is not on the Categories sheet - rows will fall to Review Required. ","")&amp;IF(Rules!$F$433="Broad","Broad scope - deliberately forces Review Required. ","")&amp;IF(Rules!$G$433&lt;&gt;"Yes","Rule is switched OFF. ","")&amp;IF(AND(Rules!$C$433&lt;&gt;"",Rules!$D$433=""),"Keyword with no category. ","")))</f>
        <v/>
      </c>
    </row>
    <row r="433" spans="1:8" x14ac:dyDescent="0.25">
      <c r="B433" s="73" t="str">
        <f>IF(Rules!$C$434="","",Rules!$B$434)</f>
        <v/>
      </c>
      <c r="C433" s="143" t="str">
        <f>IF(Rules!$C$434="","",Rules!$C$434)</f>
        <v/>
      </c>
      <c r="D433" s="143" t="str">
        <f>IF(Rules!$C$434="","",Rules!$D$434)</f>
        <v/>
      </c>
      <c r="E433" s="73" t="str">
        <f>IF(Rules!$C$434="","",Rules!$E$434)</f>
        <v/>
      </c>
      <c r="F433" s="73" t="str">
        <f>IF(Rules!$C$434="","",Rules!$G$434)</f>
        <v/>
      </c>
      <c r="G433" s="144">
        <v>434</v>
      </c>
      <c r="H433" s="145" t="str">
        <f>IF(Rules!$C$434="","",TRIM(IF(COUNTIFS(Rules_Key,Rules!$C$434,Rules_Dir,Rules!$E$434)&gt;1,"Duplicate keyword+direction. ","")&amp;IF(LEN(Rules!$C$434)&lt;5,"Keyword under 5 characters - matches too much. ","")&amp;IF(AND(Rules!$D$434&lt;&gt;"",COUNTIF(Cat_Name,Rules!$D$434)=0),"Category is not on the Categories sheet - rows will fall to Review Required. ","")&amp;IF(Rules!$F$434="Broad","Broad scope - deliberately forces Review Required. ","")&amp;IF(Rules!$G$434&lt;&gt;"Yes","Rule is switched OFF. ","")&amp;IF(AND(Rules!$C$434&lt;&gt;"",Rules!$D$434=""),"Keyword with no category. ","")))</f>
        <v/>
      </c>
    </row>
    <row r="434" spans="1:8" x14ac:dyDescent="0.25">
      <c r="B434" s="75" t="str">
        <f>IF(Rules!$C$435="","",Rules!$B$435)</f>
        <v/>
      </c>
      <c r="C434" s="146" t="str">
        <f>IF(Rules!$C$435="","",Rules!$C$435)</f>
        <v/>
      </c>
      <c r="D434" s="146" t="str">
        <f>IF(Rules!$C$435="","",Rules!$D$435)</f>
        <v/>
      </c>
      <c r="E434" s="75" t="str">
        <f>IF(Rules!$C$435="","",Rules!$E$435)</f>
        <v/>
      </c>
      <c r="F434" s="75" t="str">
        <f>IF(Rules!$C$435="","",Rules!$G$435)</f>
        <v/>
      </c>
      <c r="G434" s="147">
        <v>435</v>
      </c>
      <c r="H434" s="148" t="str">
        <f>IF(Rules!$C$435="","",TRIM(IF(COUNTIFS(Rules_Key,Rules!$C$435,Rules_Dir,Rules!$E$435)&gt;1,"Duplicate keyword+direction. ","")&amp;IF(LEN(Rules!$C$435)&lt;5,"Keyword under 5 characters - matches too much. ","")&amp;IF(AND(Rules!$D$435&lt;&gt;"",COUNTIF(Cat_Name,Rules!$D$435)=0),"Category is not on the Categories sheet - rows will fall to Review Required. ","")&amp;IF(Rules!$F$435="Broad","Broad scope - deliberately forces Review Required. ","")&amp;IF(Rules!$G$435&lt;&gt;"Yes","Rule is switched OFF. ","")&amp;IF(AND(Rules!$C$435&lt;&gt;"",Rules!$D$435=""),"Keyword with no category. ","")))</f>
        <v/>
      </c>
    </row>
    <row r="435" spans="1:8" x14ac:dyDescent="0.25">
      <c r="B435" s="73" t="str">
        <f>IF(Rules!$C$436="","",Rules!$B$436)</f>
        <v/>
      </c>
      <c r="C435" s="143" t="str">
        <f>IF(Rules!$C$436="","",Rules!$C$436)</f>
        <v/>
      </c>
      <c r="D435" s="143" t="str">
        <f>IF(Rules!$C$436="","",Rules!$D$436)</f>
        <v/>
      </c>
      <c r="E435" s="73" t="str">
        <f>IF(Rules!$C$436="","",Rules!$E$436)</f>
        <v/>
      </c>
      <c r="F435" s="73" t="str">
        <f>IF(Rules!$C$436="","",Rules!$G$436)</f>
        <v/>
      </c>
      <c r="G435" s="144">
        <v>436</v>
      </c>
      <c r="H435" s="145" t="str">
        <f>IF(Rules!$C$436="","",TRIM(IF(COUNTIFS(Rules_Key,Rules!$C$436,Rules_Dir,Rules!$E$436)&gt;1,"Duplicate keyword+direction. ","")&amp;IF(LEN(Rules!$C$436)&lt;5,"Keyword under 5 characters - matches too much. ","")&amp;IF(AND(Rules!$D$436&lt;&gt;"",COUNTIF(Cat_Name,Rules!$D$436)=0),"Category is not on the Categories sheet - rows will fall to Review Required. ","")&amp;IF(Rules!$F$436="Broad","Broad scope - deliberately forces Review Required. ","")&amp;IF(Rules!$G$436&lt;&gt;"Yes","Rule is switched OFF. ","")&amp;IF(AND(Rules!$C$436&lt;&gt;"",Rules!$D$436=""),"Keyword with no category. ","")))</f>
        <v/>
      </c>
    </row>
    <row r="436" spans="1:8" x14ac:dyDescent="0.25">
      <c r="B436" s="75" t="str">
        <f>IF(Rules!$C$437="","",Rules!$B$437)</f>
        <v/>
      </c>
      <c r="C436" s="146" t="str">
        <f>IF(Rules!$C$437="","",Rules!$C$437)</f>
        <v/>
      </c>
      <c r="D436" s="146" t="str">
        <f>IF(Rules!$C$437="","",Rules!$D$437)</f>
        <v/>
      </c>
      <c r="E436" s="75" t="str">
        <f>IF(Rules!$C$437="","",Rules!$E$437)</f>
        <v/>
      </c>
      <c r="F436" s="75" t="str">
        <f>IF(Rules!$C$437="","",Rules!$G$437)</f>
        <v/>
      </c>
      <c r="G436" s="147">
        <v>437</v>
      </c>
      <c r="H436" s="148" t="str">
        <f>IF(Rules!$C$437="","",TRIM(IF(COUNTIFS(Rules_Key,Rules!$C$437,Rules_Dir,Rules!$E$437)&gt;1,"Duplicate keyword+direction. ","")&amp;IF(LEN(Rules!$C$437)&lt;5,"Keyword under 5 characters - matches too much. ","")&amp;IF(AND(Rules!$D$437&lt;&gt;"",COUNTIF(Cat_Name,Rules!$D$437)=0),"Category is not on the Categories sheet - rows will fall to Review Required. ","")&amp;IF(Rules!$F$437="Broad","Broad scope - deliberately forces Review Required. ","")&amp;IF(Rules!$G$437&lt;&gt;"Yes","Rule is switched OFF. ","")&amp;IF(AND(Rules!$C$437&lt;&gt;"",Rules!$D$437=""),"Keyword with no category. ","")))</f>
        <v/>
      </c>
    </row>
    <row r="437" spans="1:8" x14ac:dyDescent="0.25">
      <c r="B437" s="73" t="str">
        <f>IF(Rules!$C$438="","",Rules!$B$438)</f>
        <v/>
      </c>
      <c r="C437" s="143" t="str">
        <f>IF(Rules!$C$438="","",Rules!$C$438)</f>
        <v/>
      </c>
      <c r="D437" s="143" t="str">
        <f>IF(Rules!$C$438="","",Rules!$D$438)</f>
        <v/>
      </c>
      <c r="E437" s="73" t="str">
        <f>IF(Rules!$C$438="","",Rules!$E$438)</f>
        <v/>
      </c>
      <c r="F437" s="73" t="str">
        <f>IF(Rules!$C$438="","",Rules!$G$438)</f>
        <v/>
      </c>
      <c r="G437" s="144">
        <v>438</v>
      </c>
      <c r="H437" s="145" t="str">
        <f>IF(Rules!$C$438="","",TRIM(IF(COUNTIFS(Rules_Key,Rules!$C$438,Rules_Dir,Rules!$E$438)&gt;1,"Duplicate keyword+direction. ","")&amp;IF(LEN(Rules!$C$438)&lt;5,"Keyword under 5 characters - matches too much. ","")&amp;IF(AND(Rules!$D$438&lt;&gt;"",COUNTIF(Cat_Name,Rules!$D$438)=0),"Category is not on the Categories sheet - rows will fall to Review Required. ","")&amp;IF(Rules!$F$438="Broad","Broad scope - deliberately forces Review Required. ","")&amp;IF(Rules!$G$438&lt;&gt;"Yes","Rule is switched OFF. ","")&amp;IF(AND(Rules!$C$438&lt;&gt;"",Rules!$D$438=""),"Keyword with no category. ","")))</f>
        <v/>
      </c>
    </row>
    <row r="438" spans="1:8" x14ac:dyDescent="0.25">
      <c r="B438" s="75" t="str">
        <f>IF(Rules!$C$439="","",Rules!$B$439)</f>
        <v/>
      </c>
      <c r="C438" s="146" t="str">
        <f>IF(Rules!$C$439="","",Rules!$C$439)</f>
        <v/>
      </c>
      <c r="D438" s="146" t="str">
        <f>IF(Rules!$C$439="","",Rules!$D$439)</f>
        <v/>
      </c>
      <c r="E438" s="75" t="str">
        <f>IF(Rules!$C$439="","",Rules!$E$439)</f>
        <v/>
      </c>
      <c r="F438" s="75" t="str">
        <f>IF(Rules!$C$439="","",Rules!$G$439)</f>
        <v/>
      </c>
      <c r="G438" s="147">
        <v>439</v>
      </c>
      <c r="H438" s="148" t="str">
        <f>IF(Rules!$C$439="","",TRIM(IF(COUNTIFS(Rules_Key,Rules!$C$439,Rules_Dir,Rules!$E$439)&gt;1,"Duplicate keyword+direction. ","")&amp;IF(LEN(Rules!$C$439)&lt;5,"Keyword under 5 characters - matches too much. ","")&amp;IF(AND(Rules!$D$439&lt;&gt;"",COUNTIF(Cat_Name,Rules!$D$439)=0),"Category is not on the Categories sheet - rows will fall to Review Required. ","")&amp;IF(Rules!$F$439="Broad","Broad scope - deliberately forces Review Required. ","")&amp;IF(Rules!$G$439&lt;&gt;"Yes","Rule is switched OFF. ","")&amp;IF(AND(Rules!$C$439&lt;&gt;"",Rules!$D$439=""),"Keyword with no category. ","")))</f>
        <v/>
      </c>
    </row>
    <row r="439" spans="1:8" x14ac:dyDescent="0.25">
      <c r="B439" s="73" t="str">
        <f>IF(Rules!$C$440="","",Rules!$B$440)</f>
        <v/>
      </c>
      <c r="C439" s="143" t="str">
        <f>IF(Rules!$C$440="","",Rules!$C$440)</f>
        <v/>
      </c>
      <c r="D439" s="143" t="str">
        <f>IF(Rules!$C$440="","",Rules!$D$440)</f>
        <v/>
      </c>
      <c r="E439" s="73" t="str">
        <f>IF(Rules!$C$440="","",Rules!$E$440)</f>
        <v/>
      </c>
      <c r="F439" s="73" t="str">
        <f>IF(Rules!$C$440="","",Rules!$G$440)</f>
        <v/>
      </c>
      <c r="G439" s="144">
        <v>440</v>
      </c>
      <c r="H439" s="145" t="str">
        <f>IF(Rules!$C$440="","",TRIM(IF(COUNTIFS(Rules_Key,Rules!$C$440,Rules_Dir,Rules!$E$440)&gt;1,"Duplicate keyword+direction. ","")&amp;IF(LEN(Rules!$C$440)&lt;5,"Keyword under 5 characters - matches too much. ","")&amp;IF(AND(Rules!$D$440&lt;&gt;"",COUNTIF(Cat_Name,Rules!$D$440)=0),"Category is not on the Categories sheet - rows will fall to Review Required. ","")&amp;IF(Rules!$F$440="Broad","Broad scope - deliberately forces Review Required. ","")&amp;IF(Rules!$G$440&lt;&gt;"Yes","Rule is switched OFF. ","")&amp;IF(AND(Rules!$C$440&lt;&gt;"",Rules!$D$440=""),"Keyword with no category. ","")))</f>
        <v/>
      </c>
    </row>
    <row r="440" spans="1:8" x14ac:dyDescent="0.25">
      <c r="B440" s="75" t="str">
        <f>IF(Rules!$C$441="","",Rules!$B$441)</f>
        <v/>
      </c>
      <c r="C440" s="146" t="str">
        <f>IF(Rules!$C$441="","",Rules!$C$441)</f>
        <v/>
      </c>
      <c r="D440" s="146" t="str">
        <f>IF(Rules!$C$441="","",Rules!$D$441)</f>
        <v/>
      </c>
      <c r="E440" s="75" t="str">
        <f>IF(Rules!$C$441="","",Rules!$E$441)</f>
        <v/>
      </c>
      <c r="F440" s="75" t="str">
        <f>IF(Rules!$C$441="","",Rules!$G$441)</f>
        <v/>
      </c>
      <c r="G440" s="147">
        <v>441</v>
      </c>
      <c r="H440" s="148" t="str">
        <f>IF(Rules!$C$441="","",TRIM(IF(COUNTIFS(Rules_Key,Rules!$C$441,Rules_Dir,Rules!$E$441)&gt;1,"Duplicate keyword+direction. ","")&amp;IF(LEN(Rules!$C$441)&lt;5,"Keyword under 5 characters - matches too much. ","")&amp;IF(AND(Rules!$D$441&lt;&gt;"",COUNTIF(Cat_Name,Rules!$D$441)=0),"Category is not on the Categories sheet - rows will fall to Review Required. ","")&amp;IF(Rules!$F$441="Broad","Broad scope - deliberately forces Review Required. ","")&amp;IF(Rules!$G$441&lt;&gt;"Yes","Rule is switched OFF. ","")&amp;IF(AND(Rules!$C$441&lt;&gt;"",Rules!$D$441=""),"Keyword with no category. ","")))</f>
        <v/>
      </c>
    </row>
    <row r="441" spans="1:8" x14ac:dyDescent="0.25">
      <c r="B441" s="73" t="str">
        <f>IF(Rules!$C$442="","",Rules!$B$442)</f>
        <v/>
      </c>
      <c r="C441" s="143" t="str">
        <f>IF(Rules!$C$442="","",Rules!$C$442)</f>
        <v/>
      </c>
      <c r="D441" s="143" t="str">
        <f>IF(Rules!$C$442="","",Rules!$D$442)</f>
        <v/>
      </c>
      <c r="E441" s="73" t="str">
        <f>IF(Rules!$C$442="","",Rules!$E$442)</f>
        <v/>
      </c>
      <c r="F441" s="73" t="str">
        <f>IF(Rules!$C$442="","",Rules!$G$442)</f>
        <v/>
      </c>
      <c r="G441" s="144">
        <v>442</v>
      </c>
      <c r="H441" s="145" t="str">
        <f>IF(Rules!$C$442="","",TRIM(IF(COUNTIFS(Rules_Key,Rules!$C$442,Rules_Dir,Rules!$E$442)&gt;1,"Duplicate keyword+direction. ","")&amp;IF(LEN(Rules!$C$442)&lt;5,"Keyword under 5 characters - matches too much. ","")&amp;IF(AND(Rules!$D$442&lt;&gt;"",COUNTIF(Cat_Name,Rules!$D$442)=0),"Category is not on the Categories sheet - rows will fall to Review Required. ","")&amp;IF(Rules!$F$442="Broad","Broad scope - deliberately forces Review Required. ","")&amp;IF(Rules!$G$442&lt;&gt;"Yes","Rule is switched OFF. ","")&amp;IF(AND(Rules!$C$442&lt;&gt;"",Rules!$D$442=""),"Keyword with no category. ","")))</f>
        <v/>
      </c>
    </row>
    <row r="442" spans="1:8" ht="8.1" customHeight="1" x14ac:dyDescent="0.25"/>
    <row r="443" spans="1:8" ht="15.6" customHeight="1" x14ac:dyDescent="0.25">
      <c r="A443" s="187" t="s">
        <v>69</v>
      </c>
      <c r="B443" s="173"/>
      <c r="C443" s="173"/>
      <c r="D443" s="173"/>
      <c r="E443" s="173"/>
      <c r="F443" s="173"/>
      <c r="G443" s="173"/>
      <c r="H443" s="173"/>
    </row>
  </sheetData>
  <sheetProtection sheet="1" formatCells="0" formatColumns="0" formatRows="0" insertRows="0" deleteRows="0"/>
  <autoFilter ref="B6:H441" xr:uid="{00000000-0009-0000-0000-000010000000}"/>
  <mergeCells count="4">
    <mergeCell ref="A443:H443"/>
    <mergeCell ref="A3:H3"/>
    <mergeCell ref="A2:H2"/>
    <mergeCell ref="A1:H1"/>
  </mergeCells>
  <conditionalFormatting sqref="H7:H441">
    <cfRule type="expression" dxfId="0" priority="1">
      <formula>LEN($H7)&gt;0</formula>
    </cfRule>
  </conditionalFormatting>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A6A6A6"/>
  </sheetPr>
  <dimension ref="A1:M134"/>
  <sheetViews>
    <sheetView showGridLines="0" workbookViewId="0">
      <pane ySplit="7" topLeftCell="A8" activePane="bottomLeft" state="frozen"/>
      <selection pane="bottomLeft"/>
    </sheetView>
  </sheetViews>
  <sheetFormatPr defaultRowHeight="15" x14ac:dyDescent="0.25"/>
  <cols>
    <col min="1" max="1" width="3" customWidth="1"/>
    <col min="2" max="2" width="34" customWidth="1"/>
    <col min="3" max="3" width="64" customWidth="1"/>
    <col min="4" max="6" width="14" customWidth="1"/>
    <col min="7" max="7" width="46" customWidth="1"/>
    <col min="8" max="9" width="13" customWidth="1"/>
    <col min="10" max="11" width="15" customWidth="1"/>
    <col min="12" max="12" width="60" customWidth="1"/>
    <col min="13" max="13" width="44" customWidth="1"/>
  </cols>
  <sheetData>
    <row r="1" spans="1:13" ht="27.95" customHeight="1" x14ac:dyDescent="0.25">
      <c r="A1" s="174" t="s">
        <v>1062</v>
      </c>
      <c r="B1" s="173"/>
      <c r="C1" s="173"/>
      <c r="D1" s="173"/>
      <c r="E1" s="173"/>
      <c r="F1" s="173"/>
      <c r="G1" s="173"/>
      <c r="H1" s="173"/>
      <c r="I1" s="173"/>
      <c r="J1" s="173"/>
      <c r="K1" s="173"/>
      <c r="L1" s="173"/>
      <c r="M1" s="173"/>
    </row>
    <row r="2" spans="1:13" ht="17.100000000000001" customHeight="1" x14ac:dyDescent="0.25">
      <c r="A2" s="188" t="s">
        <v>1063</v>
      </c>
      <c r="B2" s="173"/>
      <c r="C2" s="173"/>
      <c r="D2" s="173"/>
      <c r="E2" s="173"/>
      <c r="F2" s="173"/>
      <c r="G2" s="173"/>
      <c r="H2" s="173"/>
      <c r="I2" s="173"/>
      <c r="J2" s="173"/>
      <c r="K2" s="173"/>
      <c r="L2" s="173"/>
      <c r="M2" s="173"/>
    </row>
    <row r="3" spans="1:13" ht="14.1" customHeight="1" x14ac:dyDescent="0.25">
      <c r="A3" s="179" t="s">
        <v>2</v>
      </c>
      <c r="B3" s="173"/>
      <c r="C3" s="173"/>
      <c r="D3" s="173"/>
      <c r="E3" s="173"/>
      <c r="F3" s="173"/>
      <c r="G3" s="173"/>
      <c r="H3" s="173"/>
      <c r="I3" s="173"/>
      <c r="J3" s="173"/>
      <c r="K3" s="173"/>
      <c r="L3" s="173"/>
      <c r="M3" s="173"/>
    </row>
    <row r="4" spans="1:13" ht="8.1" customHeight="1" x14ac:dyDescent="0.25"/>
    <row r="5" spans="1:13" ht="16.350000000000001" customHeight="1" x14ac:dyDescent="0.25">
      <c r="A5" s="192" t="s">
        <v>1064</v>
      </c>
      <c r="B5" s="173"/>
      <c r="C5" s="173"/>
      <c r="D5" s="173"/>
      <c r="E5" s="173"/>
      <c r="F5" s="173"/>
      <c r="G5" s="173"/>
      <c r="H5" s="173"/>
      <c r="I5" s="173"/>
      <c r="J5" s="173"/>
      <c r="K5" s="173"/>
      <c r="L5" s="173"/>
      <c r="M5" s="173"/>
    </row>
    <row r="6" spans="1:13" ht="8.1" customHeight="1" x14ac:dyDescent="0.25"/>
    <row r="7" spans="1:13" ht="33.950000000000003" customHeight="1" x14ac:dyDescent="0.25">
      <c r="A7" s="27"/>
      <c r="B7" s="27" t="s">
        <v>1065</v>
      </c>
      <c r="C7" s="27" t="s">
        <v>1066</v>
      </c>
      <c r="D7" s="27" t="s">
        <v>1067</v>
      </c>
      <c r="E7" s="27" t="s">
        <v>1068</v>
      </c>
      <c r="F7" s="27" t="s">
        <v>83</v>
      </c>
      <c r="G7" s="27" t="s">
        <v>1069</v>
      </c>
      <c r="H7" s="27" t="s">
        <v>1070</v>
      </c>
      <c r="I7" s="27" t="s">
        <v>1071</v>
      </c>
      <c r="J7" s="27" t="s">
        <v>1072</v>
      </c>
      <c r="K7" s="27" t="s">
        <v>1073</v>
      </c>
      <c r="L7" s="27" t="s">
        <v>204</v>
      </c>
      <c r="M7" s="27" t="s">
        <v>1074</v>
      </c>
    </row>
    <row r="8" spans="1:13" ht="29.1" customHeight="1" x14ac:dyDescent="0.25">
      <c r="B8" s="149" t="s">
        <v>1075</v>
      </c>
      <c r="C8" s="150">
        <v>0.72499999999999998</v>
      </c>
      <c r="D8" s="151">
        <v>46023</v>
      </c>
      <c r="E8" s="151">
        <v>46203</v>
      </c>
      <c r="F8" s="75">
        <v>2026</v>
      </c>
      <c r="G8" s="152" t="s">
        <v>1076</v>
      </c>
      <c r="H8" s="153">
        <v>46235</v>
      </c>
      <c r="I8" s="154" t="s">
        <v>1077</v>
      </c>
      <c r="J8" s="154" t="s">
        <v>1078</v>
      </c>
      <c r="K8" s="155" t="s">
        <v>1079</v>
      </c>
      <c r="L8" s="152" t="s">
        <v>1080</v>
      </c>
      <c r="M8" s="156" t="s">
        <v>1081</v>
      </c>
    </row>
    <row r="9" spans="1:13" ht="42.6" customHeight="1" x14ac:dyDescent="0.25">
      <c r="B9" s="157" t="s">
        <v>1082</v>
      </c>
      <c r="C9" s="158">
        <v>0.76</v>
      </c>
      <c r="D9" s="159">
        <v>46204</v>
      </c>
      <c r="E9" s="159">
        <v>46387</v>
      </c>
      <c r="F9" s="73">
        <v>2026</v>
      </c>
      <c r="G9" s="160" t="s">
        <v>1083</v>
      </c>
      <c r="H9" s="161">
        <v>46235</v>
      </c>
      <c r="I9" s="154" t="s">
        <v>1077</v>
      </c>
      <c r="J9" s="154" t="s">
        <v>1078</v>
      </c>
      <c r="K9" s="155" t="s">
        <v>1079</v>
      </c>
      <c r="L9" s="160" t="s">
        <v>1084</v>
      </c>
      <c r="M9" s="162" t="s">
        <v>1085</v>
      </c>
    </row>
    <row r="10" spans="1:13" ht="42.6" customHeight="1" x14ac:dyDescent="0.25">
      <c r="B10" s="149" t="s">
        <v>1086</v>
      </c>
      <c r="C10" s="163">
        <v>2000</v>
      </c>
      <c r="D10" s="151">
        <v>46023</v>
      </c>
      <c r="E10" s="151"/>
      <c r="F10" s="75">
        <v>2026</v>
      </c>
      <c r="G10" s="152" t="s">
        <v>1087</v>
      </c>
      <c r="H10" s="153">
        <v>46235</v>
      </c>
      <c r="I10" s="154" t="s">
        <v>1077</v>
      </c>
      <c r="J10" s="154" t="s">
        <v>1078</v>
      </c>
      <c r="K10" s="155" t="s">
        <v>1079</v>
      </c>
      <c r="L10" s="152" t="s">
        <v>1088</v>
      </c>
      <c r="M10" s="156" t="s">
        <v>1089</v>
      </c>
    </row>
    <row r="11" spans="1:13" ht="42.6" customHeight="1" x14ac:dyDescent="0.25">
      <c r="B11" s="157" t="s">
        <v>1090</v>
      </c>
      <c r="C11" s="164">
        <v>2000</v>
      </c>
      <c r="D11" s="159">
        <v>46023</v>
      </c>
      <c r="E11" s="159"/>
      <c r="F11" s="73">
        <v>2026</v>
      </c>
      <c r="G11" s="160" t="s">
        <v>1091</v>
      </c>
      <c r="H11" s="161">
        <v>46235</v>
      </c>
      <c r="I11" s="154" t="s">
        <v>1077</v>
      </c>
      <c r="J11" s="154" t="s">
        <v>1078</v>
      </c>
      <c r="K11" s="155" t="s">
        <v>1079</v>
      </c>
      <c r="L11" s="160" t="s">
        <v>1092</v>
      </c>
      <c r="M11" s="162" t="s">
        <v>1093</v>
      </c>
    </row>
    <row r="12" spans="1:13" ht="29.1" customHeight="1" x14ac:dyDescent="0.25">
      <c r="B12" s="149" t="s">
        <v>1094</v>
      </c>
      <c r="C12" s="163">
        <v>2000</v>
      </c>
      <c r="D12" s="151">
        <v>46023</v>
      </c>
      <c r="E12" s="151"/>
      <c r="F12" s="75">
        <v>2026</v>
      </c>
      <c r="G12" s="152" t="s">
        <v>1091</v>
      </c>
      <c r="H12" s="153">
        <v>46235</v>
      </c>
      <c r="I12" s="154" t="s">
        <v>1077</v>
      </c>
      <c r="J12" s="154" t="s">
        <v>1078</v>
      </c>
      <c r="K12" s="155" t="s">
        <v>1079</v>
      </c>
      <c r="L12" s="152" t="s">
        <v>1095</v>
      </c>
      <c r="M12" s="156" t="s">
        <v>1096</v>
      </c>
    </row>
    <row r="13" spans="1:13" ht="42.6" customHeight="1" x14ac:dyDescent="0.25">
      <c r="B13" s="157" t="s">
        <v>1097</v>
      </c>
      <c r="C13" s="164">
        <v>600</v>
      </c>
      <c r="D13" s="159">
        <v>46023</v>
      </c>
      <c r="E13" s="159"/>
      <c r="F13" s="73">
        <v>2026</v>
      </c>
      <c r="G13" s="160" t="s">
        <v>1091</v>
      </c>
      <c r="H13" s="161">
        <v>46235</v>
      </c>
      <c r="I13" s="154" t="s">
        <v>1077</v>
      </c>
      <c r="J13" s="154" t="s">
        <v>1078</v>
      </c>
      <c r="K13" s="155" t="s">
        <v>1079</v>
      </c>
      <c r="L13" s="160" t="s">
        <v>1098</v>
      </c>
      <c r="M13" s="162" t="s">
        <v>1099</v>
      </c>
    </row>
    <row r="14" spans="1:13" ht="56.1" customHeight="1" x14ac:dyDescent="0.25">
      <c r="B14" s="149" t="s">
        <v>1100</v>
      </c>
      <c r="C14" s="76" t="s">
        <v>1101</v>
      </c>
      <c r="D14" s="151"/>
      <c r="E14" s="151"/>
      <c r="F14" s="75">
        <v>2026</v>
      </c>
      <c r="G14" s="152" t="s">
        <v>1102</v>
      </c>
      <c r="H14" s="153">
        <v>46235</v>
      </c>
      <c r="I14" s="154" t="s">
        <v>1077</v>
      </c>
      <c r="J14" s="154" t="s">
        <v>1078</v>
      </c>
      <c r="K14" s="155" t="s">
        <v>1079</v>
      </c>
      <c r="L14" s="152"/>
      <c r="M14" s="156" t="s">
        <v>1103</v>
      </c>
    </row>
    <row r="15" spans="1:13" ht="56.1" customHeight="1" x14ac:dyDescent="0.25">
      <c r="B15" s="157" t="s">
        <v>1104</v>
      </c>
      <c r="C15" s="74" t="s">
        <v>1105</v>
      </c>
      <c r="D15" s="159"/>
      <c r="E15" s="159"/>
      <c r="F15" s="73">
        <v>2026</v>
      </c>
      <c r="G15" s="160" t="s">
        <v>1106</v>
      </c>
      <c r="H15" s="161">
        <v>46235</v>
      </c>
      <c r="I15" s="154" t="s">
        <v>1077</v>
      </c>
      <c r="J15" s="154" t="s">
        <v>1078</v>
      </c>
      <c r="K15" s="155" t="s">
        <v>1079</v>
      </c>
      <c r="L15" s="160"/>
      <c r="M15" s="162" t="s">
        <v>1107</v>
      </c>
    </row>
    <row r="16" spans="1:13" ht="83.1" customHeight="1" x14ac:dyDescent="0.25">
      <c r="B16" s="149" t="s">
        <v>1108</v>
      </c>
      <c r="C16" s="76" t="s">
        <v>1109</v>
      </c>
      <c r="D16" s="151"/>
      <c r="E16" s="151"/>
      <c r="F16" s="75">
        <v>2026</v>
      </c>
      <c r="G16" s="152" t="s">
        <v>1110</v>
      </c>
      <c r="H16" s="153">
        <v>46235</v>
      </c>
      <c r="I16" s="154" t="s">
        <v>1077</v>
      </c>
      <c r="J16" s="154" t="s">
        <v>1078</v>
      </c>
      <c r="K16" s="155" t="s">
        <v>1079</v>
      </c>
      <c r="L16" s="152"/>
      <c r="M16" s="156" t="s">
        <v>1111</v>
      </c>
    </row>
    <row r="17" spans="2:2" ht="8.1" customHeight="1" x14ac:dyDescent="0.25"/>
    <row r="18" spans="2:2" x14ac:dyDescent="0.25">
      <c r="B18" s="32" t="s">
        <v>1112</v>
      </c>
    </row>
    <row r="19" spans="2:2" ht="8.1" customHeight="1" x14ac:dyDescent="0.25"/>
    <row r="20" spans="2:2" ht="8.1" customHeight="1" x14ac:dyDescent="0.25"/>
    <row r="21" spans="2:2" ht="8.1" customHeight="1" x14ac:dyDescent="0.25"/>
    <row r="22" spans="2:2" ht="8.1" customHeight="1" x14ac:dyDescent="0.25"/>
    <row r="23" spans="2:2" ht="8.1" customHeight="1" x14ac:dyDescent="0.25"/>
    <row r="24" spans="2:2" ht="8.1" customHeight="1" x14ac:dyDescent="0.25"/>
    <row r="25" spans="2:2" ht="8.1" customHeight="1" x14ac:dyDescent="0.25"/>
    <row r="26" spans="2:2" ht="8.1" customHeight="1" x14ac:dyDescent="0.25"/>
    <row r="27" spans="2:2" ht="8.1" customHeight="1" x14ac:dyDescent="0.25"/>
    <row r="28" spans="2:2" ht="8.1" customHeight="1" x14ac:dyDescent="0.25"/>
    <row r="29" spans="2:2" ht="8.1" customHeight="1" x14ac:dyDescent="0.25"/>
    <row r="30" spans="2:2" ht="8.1" customHeight="1" x14ac:dyDescent="0.25"/>
    <row r="31" spans="2:2" ht="8.1" customHeight="1" x14ac:dyDescent="0.25"/>
    <row r="32" spans="2:2" ht="8.1" customHeight="1" x14ac:dyDescent="0.25"/>
    <row r="33" ht="8.1" customHeight="1" x14ac:dyDescent="0.25"/>
    <row r="34" ht="8.1" customHeight="1" x14ac:dyDescent="0.25"/>
    <row r="35" ht="8.1" customHeight="1" x14ac:dyDescent="0.25"/>
    <row r="36" ht="8.1" customHeight="1" x14ac:dyDescent="0.25"/>
    <row r="37" ht="8.1" customHeight="1" x14ac:dyDescent="0.25"/>
    <row r="38" ht="8.1" customHeight="1" x14ac:dyDescent="0.25"/>
    <row r="39" ht="8.1" customHeight="1" x14ac:dyDescent="0.25"/>
    <row r="40" ht="8.1" customHeight="1" x14ac:dyDescent="0.25"/>
    <row r="41" ht="8.1" customHeight="1" x14ac:dyDescent="0.25"/>
    <row r="42" ht="8.1" customHeight="1" x14ac:dyDescent="0.25"/>
    <row r="43" ht="8.1" customHeight="1" x14ac:dyDescent="0.25"/>
    <row r="44" ht="8.1" customHeight="1" x14ac:dyDescent="0.25"/>
    <row r="45" ht="8.1" customHeight="1" x14ac:dyDescent="0.25"/>
    <row r="46" ht="8.1" customHeight="1" x14ac:dyDescent="0.25"/>
    <row r="47" ht="8.1" customHeight="1" x14ac:dyDescent="0.25"/>
    <row r="48" ht="8.1" customHeight="1" x14ac:dyDescent="0.25"/>
    <row r="49" ht="8.1" customHeight="1" x14ac:dyDescent="0.25"/>
    <row r="50" ht="8.1" customHeight="1" x14ac:dyDescent="0.25"/>
    <row r="51" ht="8.1" customHeight="1" x14ac:dyDescent="0.25"/>
    <row r="52" ht="8.1" customHeight="1" x14ac:dyDescent="0.25"/>
    <row r="53" ht="8.1" customHeight="1" x14ac:dyDescent="0.25"/>
    <row r="54" ht="8.1" customHeight="1" x14ac:dyDescent="0.25"/>
    <row r="55" ht="8.1" customHeight="1" x14ac:dyDescent="0.25"/>
    <row r="56" ht="8.1" customHeight="1" x14ac:dyDescent="0.25"/>
    <row r="57" ht="8.1" customHeight="1" x14ac:dyDescent="0.25"/>
    <row r="58" ht="8.1" customHeight="1" x14ac:dyDescent="0.25"/>
    <row r="59" ht="8.1" customHeight="1" x14ac:dyDescent="0.25"/>
    <row r="60" ht="8.1" customHeight="1" x14ac:dyDescent="0.25"/>
    <row r="61" ht="8.1" customHeight="1" x14ac:dyDescent="0.25"/>
    <row r="62" ht="8.1" customHeight="1" x14ac:dyDescent="0.25"/>
    <row r="63" ht="8.1" customHeight="1" x14ac:dyDescent="0.25"/>
    <row r="64" ht="8.1" customHeight="1" x14ac:dyDescent="0.25"/>
    <row r="65" ht="8.1" customHeight="1" x14ac:dyDescent="0.25"/>
    <row r="66" ht="8.1" customHeight="1" x14ac:dyDescent="0.25"/>
    <row r="67" ht="8.1" customHeight="1" x14ac:dyDescent="0.25"/>
    <row r="68" ht="8.1" customHeight="1" x14ac:dyDescent="0.25"/>
    <row r="69" ht="8.1" customHeight="1" x14ac:dyDescent="0.25"/>
    <row r="70" ht="8.1" customHeight="1" x14ac:dyDescent="0.25"/>
    <row r="71" ht="8.1" customHeight="1" x14ac:dyDescent="0.25"/>
    <row r="72" ht="8.1" customHeight="1" x14ac:dyDescent="0.25"/>
    <row r="73" ht="8.1" customHeight="1" x14ac:dyDescent="0.25"/>
    <row r="74" ht="8.1" customHeight="1" x14ac:dyDescent="0.25"/>
    <row r="75" ht="8.1" customHeight="1" x14ac:dyDescent="0.25"/>
    <row r="76" ht="8.1" customHeight="1" x14ac:dyDescent="0.25"/>
    <row r="77" ht="8.1" customHeight="1" x14ac:dyDescent="0.25"/>
    <row r="78" ht="8.1" customHeight="1" x14ac:dyDescent="0.25"/>
    <row r="79" ht="8.1" customHeight="1" x14ac:dyDescent="0.25"/>
    <row r="80" ht="8.1" customHeight="1" x14ac:dyDescent="0.25"/>
    <row r="81" ht="8.1" customHeight="1" x14ac:dyDescent="0.25"/>
    <row r="82" ht="8.1" customHeight="1" x14ac:dyDescent="0.25"/>
    <row r="83" ht="8.1" customHeight="1" x14ac:dyDescent="0.25"/>
    <row r="84" ht="8.1" customHeight="1" x14ac:dyDescent="0.25"/>
    <row r="85" ht="8.1" customHeight="1" x14ac:dyDescent="0.25"/>
    <row r="86" ht="8.1" customHeight="1" x14ac:dyDescent="0.25"/>
    <row r="87" ht="8.1" customHeight="1" x14ac:dyDescent="0.25"/>
    <row r="88" ht="8.1" customHeight="1" x14ac:dyDescent="0.25"/>
    <row r="89" ht="8.1" customHeight="1" x14ac:dyDescent="0.25"/>
    <row r="90" ht="8.1" customHeight="1" x14ac:dyDescent="0.25"/>
    <row r="91" ht="8.1" customHeight="1" x14ac:dyDescent="0.25"/>
    <row r="92" ht="8.1" customHeight="1" x14ac:dyDescent="0.25"/>
    <row r="93" ht="8.1" customHeight="1" x14ac:dyDescent="0.25"/>
    <row r="94" ht="8.1" customHeight="1" x14ac:dyDescent="0.25"/>
    <row r="95" ht="8.1" customHeight="1" x14ac:dyDescent="0.25"/>
    <row r="96" ht="8.1" customHeight="1" x14ac:dyDescent="0.25"/>
    <row r="97" spans="1:13" ht="8.1" customHeight="1" x14ac:dyDescent="0.25"/>
    <row r="98" spans="1:13" ht="8.1" customHeight="1" x14ac:dyDescent="0.25"/>
    <row r="99" spans="1:13" ht="8.1" customHeight="1" x14ac:dyDescent="0.25"/>
    <row r="100" spans="1:13" ht="8.1" customHeight="1" x14ac:dyDescent="0.25"/>
    <row r="101" spans="1:13" ht="8.1" customHeight="1" x14ac:dyDescent="0.25"/>
    <row r="102" spans="1:13" x14ac:dyDescent="0.25">
      <c r="B102" s="165" t="s">
        <v>1113</v>
      </c>
    </row>
    <row r="103" spans="1:13" ht="30.6" customHeight="1" x14ac:dyDescent="0.25">
      <c r="A103" s="192" t="s">
        <v>1114</v>
      </c>
      <c r="B103" s="173"/>
      <c r="C103" s="173"/>
      <c r="D103" s="173"/>
      <c r="E103" s="173"/>
      <c r="F103" s="173"/>
      <c r="G103" s="173"/>
      <c r="H103" s="173"/>
      <c r="I103" s="173"/>
      <c r="J103" s="173"/>
      <c r="K103" s="173"/>
      <c r="L103" s="173"/>
      <c r="M103" s="173"/>
    </row>
    <row r="104" spans="1:13" ht="33.950000000000003" customHeight="1" x14ac:dyDescent="0.25">
      <c r="A104" s="27"/>
      <c r="B104" s="27" t="s">
        <v>1115</v>
      </c>
      <c r="C104" s="27" t="s">
        <v>1116</v>
      </c>
      <c r="D104" s="27" t="s">
        <v>1117</v>
      </c>
      <c r="E104" s="27" t="s">
        <v>1118</v>
      </c>
      <c r="F104" s="27" t="s">
        <v>83</v>
      </c>
      <c r="G104" s="27" t="s">
        <v>1069</v>
      </c>
      <c r="H104" s="27" t="s">
        <v>1070</v>
      </c>
      <c r="I104" s="27" t="s">
        <v>1071</v>
      </c>
      <c r="J104" s="27" t="s">
        <v>1072</v>
      </c>
      <c r="K104" s="27" t="s">
        <v>1073</v>
      </c>
      <c r="L104" s="27" t="s">
        <v>204</v>
      </c>
      <c r="M104" s="27" t="s">
        <v>1074</v>
      </c>
    </row>
    <row r="105" spans="1:13" ht="56.1" customHeight="1" x14ac:dyDescent="0.25">
      <c r="B105" s="166" t="s">
        <v>23</v>
      </c>
      <c r="C105" s="167" t="s">
        <v>1119</v>
      </c>
      <c r="D105" s="132">
        <v>3</v>
      </c>
      <c r="E105" s="168" t="s">
        <v>1120</v>
      </c>
      <c r="F105" s="73">
        <v>2026</v>
      </c>
      <c r="G105" s="160" t="s">
        <v>1121</v>
      </c>
      <c r="H105" s="161">
        <v>46255</v>
      </c>
      <c r="I105" s="154" t="s">
        <v>1077</v>
      </c>
      <c r="J105" s="154" t="s">
        <v>1078</v>
      </c>
      <c r="K105" s="155" t="s">
        <v>1079</v>
      </c>
      <c r="L105" s="160" t="s">
        <v>1122</v>
      </c>
      <c r="M105" s="162" t="s">
        <v>1123</v>
      </c>
    </row>
    <row r="106" spans="1:13" ht="56.1" customHeight="1" x14ac:dyDescent="0.25">
      <c r="B106" s="169" t="s">
        <v>42</v>
      </c>
      <c r="C106" s="170" t="s">
        <v>1124</v>
      </c>
      <c r="D106" s="130">
        <v>3</v>
      </c>
      <c r="E106" s="171" t="s">
        <v>1120</v>
      </c>
      <c r="F106" s="75">
        <v>2026</v>
      </c>
      <c r="G106" s="152" t="s">
        <v>1121</v>
      </c>
      <c r="H106" s="153">
        <v>46255</v>
      </c>
      <c r="I106" s="154" t="s">
        <v>1077</v>
      </c>
      <c r="J106" s="154" t="s">
        <v>1078</v>
      </c>
      <c r="K106" s="155" t="s">
        <v>1079</v>
      </c>
      <c r="L106" s="152" t="s">
        <v>1122</v>
      </c>
      <c r="M106" s="156" t="s">
        <v>1125</v>
      </c>
    </row>
    <row r="107" spans="1:13" ht="56.1" customHeight="1" x14ac:dyDescent="0.25">
      <c r="B107" s="166" t="s">
        <v>626</v>
      </c>
      <c r="C107" s="167" t="s">
        <v>1126</v>
      </c>
      <c r="D107" s="132">
        <v>2</v>
      </c>
      <c r="E107" s="168" t="s">
        <v>1120</v>
      </c>
      <c r="F107" s="73">
        <v>2026</v>
      </c>
      <c r="G107" s="160" t="s">
        <v>1121</v>
      </c>
      <c r="H107" s="161">
        <v>46255</v>
      </c>
      <c r="I107" s="154" t="s">
        <v>1077</v>
      </c>
      <c r="J107" s="154" t="s">
        <v>1078</v>
      </c>
      <c r="K107" s="155" t="s">
        <v>1079</v>
      </c>
      <c r="L107" s="160" t="s">
        <v>1122</v>
      </c>
      <c r="M107" s="162" t="s">
        <v>1127</v>
      </c>
    </row>
    <row r="108" spans="1:13" ht="56.1" customHeight="1" x14ac:dyDescent="0.25">
      <c r="B108" s="169" t="s">
        <v>576</v>
      </c>
      <c r="C108" s="170" t="s">
        <v>1128</v>
      </c>
      <c r="D108" s="130">
        <v>3</v>
      </c>
      <c r="E108" s="171" t="s">
        <v>1120</v>
      </c>
      <c r="F108" s="75">
        <v>2026</v>
      </c>
      <c r="G108" s="152" t="s">
        <v>1121</v>
      </c>
      <c r="H108" s="153">
        <v>46255</v>
      </c>
      <c r="I108" s="154" t="s">
        <v>1077</v>
      </c>
      <c r="J108" s="154" t="s">
        <v>1078</v>
      </c>
      <c r="K108" s="155" t="s">
        <v>1079</v>
      </c>
      <c r="L108" s="152" t="s">
        <v>1122</v>
      </c>
      <c r="M108" s="156" t="s">
        <v>1129</v>
      </c>
    </row>
    <row r="109" spans="1:13" ht="56.1" customHeight="1" x14ac:dyDescent="0.25">
      <c r="B109" s="166" t="s">
        <v>554</v>
      </c>
      <c r="C109" s="167" t="s">
        <v>1130</v>
      </c>
      <c r="D109" s="132">
        <v>5</v>
      </c>
      <c r="E109" s="168" t="s">
        <v>1120</v>
      </c>
      <c r="F109" s="73">
        <v>2026</v>
      </c>
      <c r="G109" s="160" t="s">
        <v>1121</v>
      </c>
      <c r="H109" s="161">
        <v>46255</v>
      </c>
      <c r="I109" s="154" t="s">
        <v>1077</v>
      </c>
      <c r="J109" s="154" t="s">
        <v>1078</v>
      </c>
      <c r="K109" s="155" t="s">
        <v>1079</v>
      </c>
      <c r="L109" s="160" t="s">
        <v>1122</v>
      </c>
      <c r="M109" s="162" t="s">
        <v>1131</v>
      </c>
    </row>
    <row r="110" spans="1:13" ht="56.1" customHeight="1" x14ac:dyDescent="0.25">
      <c r="B110" s="169" t="s">
        <v>533</v>
      </c>
      <c r="C110" s="170" t="s">
        <v>1132</v>
      </c>
      <c r="D110" s="130">
        <v>1</v>
      </c>
      <c r="E110" s="171" t="s">
        <v>1120</v>
      </c>
      <c r="F110" s="75">
        <v>2026</v>
      </c>
      <c r="G110" s="152" t="s">
        <v>1121</v>
      </c>
      <c r="H110" s="153">
        <v>46255</v>
      </c>
      <c r="I110" s="154" t="s">
        <v>1077</v>
      </c>
      <c r="J110" s="154" t="s">
        <v>1078</v>
      </c>
      <c r="K110" s="155" t="s">
        <v>1079</v>
      </c>
      <c r="L110" s="152" t="s">
        <v>1122</v>
      </c>
      <c r="M110" s="156" t="s">
        <v>1133</v>
      </c>
    </row>
    <row r="111" spans="1:13" ht="56.1" customHeight="1" x14ac:dyDescent="0.25">
      <c r="B111" s="166" t="s">
        <v>542</v>
      </c>
      <c r="C111" s="167" t="s">
        <v>1134</v>
      </c>
      <c r="D111" s="132">
        <v>1</v>
      </c>
      <c r="E111" s="168" t="s">
        <v>1120</v>
      </c>
      <c r="F111" s="73">
        <v>2026</v>
      </c>
      <c r="G111" s="160" t="s">
        <v>1121</v>
      </c>
      <c r="H111" s="161">
        <v>46255</v>
      </c>
      <c r="I111" s="154" t="s">
        <v>1077</v>
      </c>
      <c r="J111" s="154" t="s">
        <v>1078</v>
      </c>
      <c r="K111" s="155" t="s">
        <v>1079</v>
      </c>
      <c r="L111" s="160" t="s">
        <v>1122</v>
      </c>
      <c r="M111" s="162" t="s">
        <v>1135</v>
      </c>
    </row>
    <row r="112" spans="1:13" ht="56.1" customHeight="1" x14ac:dyDescent="0.25">
      <c r="B112" s="169" t="s">
        <v>551</v>
      </c>
      <c r="C112" s="170" t="s">
        <v>1136</v>
      </c>
      <c r="D112" s="130">
        <v>1</v>
      </c>
      <c r="E112" s="171" t="s">
        <v>1120</v>
      </c>
      <c r="F112" s="75">
        <v>2026</v>
      </c>
      <c r="G112" s="152" t="s">
        <v>1121</v>
      </c>
      <c r="H112" s="153">
        <v>46255</v>
      </c>
      <c r="I112" s="154" t="s">
        <v>1077</v>
      </c>
      <c r="J112" s="154" t="s">
        <v>1078</v>
      </c>
      <c r="K112" s="155" t="s">
        <v>1079</v>
      </c>
      <c r="L112" s="152" t="s">
        <v>1122</v>
      </c>
      <c r="M112" s="156" t="s">
        <v>1137</v>
      </c>
    </row>
    <row r="113" spans="2:13" ht="56.1" customHeight="1" x14ac:dyDescent="0.25">
      <c r="B113" s="166" t="s">
        <v>518</v>
      </c>
      <c r="C113" s="167" t="s">
        <v>1138</v>
      </c>
      <c r="D113" s="132">
        <v>4</v>
      </c>
      <c r="E113" s="168" t="s">
        <v>1120</v>
      </c>
      <c r="F113" s="73">
        <v>2026</v>
      </c>
      <c r="G113" s="160" t="s">
        <v>1121</v>
      </c>
      <c r="H113" s="161">
        <v>46255</v>
      </c>
      <c r="I113" s="154" t="s">
        <v>1077</v>
      </c>
      <c r="J113" s="154" t="s">
        <v>1078</v>
      </c>
      <c r="K113" s="155" t="s">
        <v>1079</v>
      </c>
      <c r="L113" s="160" t="s">
        <v>1122</v>
      </c>
      <c r="M113" s="162" t="s">
        <v>1139</v>
      </c>
    </row>
    <row r="114" spans="2:13" ht="56.1" customHeight="1" x14ac:dyDescent="0.25">
      <c r="B114" s="169" t="s">
        <v>573</v>
      </c>
      <c r="C114" s="170" t="s">
        <v>1140</v>
      </c>
      <c r="D114" s="130">
        <v>3</v>
      </c>
      <c r="E114" s="171" t="s">
        <v>1120</v>
      </c>
      <c r="F114" s="75">
        <v>2026</v>
      </c>
      <c r="G114" s="152" t="s">
        <v>1121</v>
      </c>
      <c r="H114" s="153">
        <v>46255</v>
      </c>
      <c r="I114" s="154" t="s">
        <v>1077</v>
      </c>
      <c r="J114" s="154" t="s">
        <v>1078</v>
      </c>
      <c r="K114" s="155" t="s">
        <v>1079</v>
      </c>
      <c r="L114" s="152" t="s">
        <v>1122</v>
      </c>
      <c r="M114" s="156" t="s">
        <v>1141</v>
      </c>
    </row>
    <row r="115" spans="2:13" ht="56.1" customHeight="1" x14ac:dyDescent="0.25">
      <c r="B115" s="166" t="s">
        <v>619</v>
      </c>
      <c r="C115" s="167" t="s">
        <v>1142</v>
      </c>
      <c r="D115" s="132">
        <v>1</v>
      </c>
      <c r="E115" s="168" t="s">
        <v>1120</v>
      </c>
      <c r="F115" s="73">
        <v>2026</v>
      </c>
      <c r="G115" s="160" t="s">
        <v>1121</v>
      </c>
      <c r="H115" s="161">
        <v>46255</v>
      </c>
      <c r="I115" s="154" t="s">
        <v>1077</v>
      </c>
      <c r="J115" s="154" t="s">
        <v>1078</v>
      </c>
      <c r="K115" s="155" t="s">
        <v>1079</v>
      </c>
      <c r="L115" s="160" t="s">
        <v>1122</v>
      </c>
      <c r="M115" s="162" t="s">
        <v>1143</v>
      </c>
    </row>
    <row r="116" spans="2:13" ht="56.1" customHeight="1" x14ac:dyDescent="0.25">
      <c r="B116" s="169" t="s">
        <v>545</v>
      </c>
      <c r="C116" s="170" t="s">
        <v>543</v>
      </c>
      <c r="D116" s="130">
        <v>1</v>
      </c>
      <c r="E116" s="171" t="s">
        <v>1120</v>
      </c>
      <c r="F116" s="75">
        <v>2026</v>
      </c>
      <c r="G116" s="152" t="s">
        <v>1121</v>
      </c>
      <c r="H116" s="153">
        <v>46255</v>
      </c>
      <c r="I116" s="154" t="s">
        <v>1077</v>
      </c>
      <c r="J116" s="154" t="s">
        <v>1078</v>
      </c>
      <c r="K116" s="155" t="s">
        <v>1079</v>
      </c>
      <c r="L116" s="152" t="s">
        <v>1122</v>
      </c>
      <c r="M116" s="156" t="s">
        <v>1144</v>
      </c>
    </row>
    <row r="117" spans="2:13" ht="69.599999999999994" customHeight="1" x14ac:dyDescent="0.25">
      <c r="B117" s="166" t="s">
        <v>1145</v>
      </c>
      <c r="C117" s="167" t="s">
        <v>1146</v>
      </c>
      <c r="D117" s="67">
        <v>0</v>
      </c>
      <c r="E117" s="168" t="s">
        <v>1120</v>
      </c>
      <c r="F117" s="73">
        <v>2026</v>
      </c>
      <c r="G117" s="160" t="s">
        <v>1121</v>
      </c>
      <c r="H117" s="161">
        <v>46255</v>
      </c>
      <c r="I117" s="154" t="s">
        <v>1077</v>
      </c>
      <c r="J117" s="154" t="s">
        <v>1078</v>
      </c>
      <c r="K117" s="155" t="s">
        <v>1079</v>
      </c>
      <c r="L117" s="160" t="s">
        <v>1147</v>
      </c>
      <c r="M117" s="162" t="s">
        <v>1148</v>
      </c>
    </row>
    <row r="118" spans="2:13" ht="56.1" customHeight="1" x14ac:dyDescent="0.25">
      <c r="B118" s="169" t="s">
        <v>527</v>
      </c>
      <c r="C118" s="170" t="s">
        <v>1149</v>
      </c>
      <c r="D118" s="130">
        <v>13</v>
      </c>
      <c r="E118" s="171" t="s">
        <v>1120</v>
      </c>
      <c r="F118" s="75">
        <v>2026</v>
      </c>
      <c r="G118" s="152" t="s">
        <v>1121</v>
      </c>
      <c r="H118" s="153">
        <v>46255</v>
      </c>
      <c r="I118" s="154" t="s">
        <v>1077</v>
      </c>
      <c r="J118" s="154" t="s">
        <v>1078</v>
      </c>
      <c r="K118" s="155" t="s">
        <v>1079</v>
      </c>
      <c r="L118" s="152" t="s">
        <v>1150</v>
      </c>
      <c r="M118" s="156" t="s">
        <v>1151</v>
      </c>
    </row>
    <row r="119" spans="2:13" ht="69.599999999999994" customHeight="1" x14ac:dyDescent="0.25">
      <c r="B119" s="166" t="s">
        <v>21</v>
      </c>
      <c r="C119" s="167" t="s">
        <v>1152</v>
      </c>
      <c r="D119" s="67">
        <v>0</v>
      </c>
      <c r="E119" s="168" t="s">
        <v>1153</v>
      </c>
      <c r="F119" s="73">
        <v>2026</v>
      </c>
      <c r="G119" s="160" t="s">
        <v>1154</v>
      </c>
      <c r="H119" s="161">
        <v>46255</v>
      </c>
      <c r="I119" s="154" t="s">
        <v>1077</v>
      </c>
      <c r="J119" s="154" t="s">
        <v>1078</v>
      </c>
      <c r="K119" s="155" t="s">
        <v>1079</v>
      </c>
      <c r="L119" s="160" t="s">
        <v>1155</v>
      </c>
      <c r="M119" s="162" t="s">
        <v>1156</v>
      </c>
    </row>
    <row r="120" spans="2:13" ht="56.1" customHeight="1" x14ac:dyDescent="0.25">
      <c r="B120" s="169" t="s">
        <v>23</v>
      </c>
      <c r="C120" s="170" t="s">
        <v>1157</v>
      </c>
      <c r="D120" s="64">
        <v>0</v>
      </c>
      <c r="E120" s="171" t="s">
        <v>1153</v>
      </c>
      <c r="F120" s="75">
        <v>2026</v>
      </c>
      <c r="G120" s="152" t="s">
        <v>1154</v>
      </c>
      <c r="H120" s="153">
        <v>46255</v>
      </c>
      <c r="I120" s="154" t="s">
        <v>1077</v>
      </c>
      <c r="J120" s="154" t="s">
        <v>1078</v>
      </c>
      <c r="K120" s="155" t="s">
        <v>1079</v>
      </c>
      <c r="L120" s="152" t="s">
        <v>1158</v>
      </c>
      <c r="M120" s="156" t="s">
        <v>1159</v>
      </c>
    </row>
    <row r="121" spans="2:13" ht="42.6" customHeight="1" x14ac:dyDescent="0.25">
      <c r="B121" s="166" t="s">
        <v>25</v>
      </c>
      <c r="C121" s="167" t="s">
        <v>1136</v>
      </c>
      <c r="D121" s="132">
        <v>1</v>
      </c>
      <c r="E121" s="168" t="s">
        <v>1153</v>
      </c>
      <c r="F121" s="73">
        <v>2026</v>
      </c>
      <c r="G121" s="160" t="s">
        <v>1154</v>
      </c>
      <c r="H121" s="161">
        <v>46255</v>
      </c>
      <c r="I121" s="154" t="s">
        <v>1077</v>
      </c>
      <c r="J121" s="154" t="s">
        <v>1078</v>
      </c>
      <c r="K121" s="155" t="s">
        <v>1079</v>
      </c>
      <c r="L121" s="160" t="s">
        <v>1160</v>
      </c>
      <c r="M121" s="162" t="s">
        <v>1161</v>
      </c>
    </row>
    <row r="122" spans="2:13" ht="69.599999999999994" customHeight="1" x14ac:dyDescent="0.25">
      <c r="B122" s="169" t="s">
        <v>27</v>
      </c>
      <c r="C122" s="170" t="s">
        <v>1162</v>
      </c>
      <c r="D122" s="64">
        <v>0</v>
      </c>
      <c r="E122" s="171" t="s">
        <v>1153</v>
      </c>
      <c r="F122" s="75">
        <v>2026</v>
      </c>
      <c r="G122" s="152" t="s">
        <v>1154</v>
      </c>
      <c r="H122" s="153">
        <v>46255</v>
      </c>
      <c r="I122" s="154" t="s">
        <v>1077</v>
      </c>
      <c r="J122" s="154" t="s">
        <v>1078</v>
      </c>
      <c r="K122" s="155" t="s">
        <v>1079</v>
      </c>
      <c r="L122" s="152" t="s">
        <v>1163</v>
      </c>
      <c r="M122" s="156" t="s">
        <v>1164</v>
      </c>
    </row>
    <row r="123" spans="2:13" ht="42.6" customHeight="1" x14ac:dyDescent="0.25">
      <c r="B123" s="166" t="s">
        <v>34</v>
      </c>
      <c r="C123" s="167" t="s">
        <v>1165</v>
      </c>
      <c r="D123" s="132">
        <v>2</v>
      </c>
      <c r="E123" s="168" t="s">
        <v>1153</v>
      </c>
      <c r="F123" s="73">
        <v>2026</v>
      </c>
      <c r="G123" s="160" t="s">
        <v>1154</v>
      </c>
      <c r="H123" s="161">
        <v>46255</v>
      </c>
      <c r="I123" s="154" t="s">
        <v>1077</v>
      </c>
      <c r="J123" s="154" t="s">
        <v>1078</v>
      </c>
      <c r="K123" s="155" t="s">
        <v>1079</v>
      </c>
      <c r="L123" s="160" t="s">
        <v>1160</v>
      </c>
      <c r="M123" s="162" t="s">
        <v>1166</v>
      </c>
    </row>
    <row r="124" spans="2:13" ht="42.6" customHeight="1" x14ac:dyDescent="0.25">
      <c r="B124" s="169" t="s">
        <v>36</v>
      </c>
      <c r="C124" s="170" t="s">
        <v>1140</v>
      </c>
      <c r="D124" s="130">
        <v>3</v>
      </c>
      <c r="E124" s="171" t="s">
        <v>1153</v>
      </c>
      <c r="F124" s="75">
        <v>2026</v>
      </c>
      <c r="G124" s="152" t="s">
        <v>1154</v>
      </c>
      <c r="H124" s="153">
        <v>46255</v>
      </c>
      <c r="I124" s="154" t="s">
        <v>1077</v>
      </c>
      <c r="J124" s="154" t="s">
        <v>1078</v>
      </c>
      <c r="K124" s="155" t="s">
        <v>1079</v>
      </c>
      <c r="L124" s="152" t="s">
        <v>1160</v>
      </c>
      <c r="M124" s="156" t="s">
        <v>1167</v>
      </c>
    </row>
    <row r="125" spans="2:13" ht="42.6" customHeight="1" x14ac:dyDescent="0.25">
      <c r="B125" s="166" t="s">
        <v>38</v>
      </c>
      <c r="C125" s="167" t="s">
        <v>1168</v>
      </c>
      <c r="D125" s="132">
        <v>2</v>
      </c>
      <c r="E125" s="168" t="s">
        <v>1153</v>
      </c>
      <c r="F125" s="73">
        <v>2026</v>
      </c>
      <c r="G125" s="160" t="s">
        <v>1154</v>
      </c>
      <c r="H125" s="161">
        <v>46255</v>
      </c>
      <c r="I125" s="154" t="s">
        <v>1077</v>
      </c>
      <c r="J125" s="154" t="s">
        <v>1078</v>
      </c>
      <c r="K125" s="155" t="s">
        <v>1079</v>
      </c>
      <c r="L125" s="160" t="s">
        <v>1160</v>
      </c>
      <c r="M125" s="162" t="s">
        <v>1169</v>
      </c>
    </row>
    <row r="126" spans="2:13" ht="56.1" customHeight="1" x14ac:dyDescent="0.25">
      <c r="B126" s="169" t="s">
        <v>40</v>
      </c>
      <c r="C126" s="170" t="s">
        <v>1170</v>
      </c>
      <c r="D126" s="64">
        <v>0</v>
      </c>
      <c r="E126" s="171" t="s">
        <v>1153</v>
      </c>
      <c r="F126" s="75">
        <v>2026</v>
      </c>
      <c r="G126" s="152" t="s">
        <v>1154</v>
      </c>
      <c r="H126" s="153">
        <v>46255</v>
      </c>
      <c r="I126" s="154" t="s">
        <v>1077</v>
      </c>
      <c r="J126" s="154" t="s">
        <v>1078</v>
      </c>
      <c r="K126" s="155" t="s">
        <v>1079</v>
      </c>
      <c r="L126" s="152" t="s">
        <v>1171</v>
      </c>
      <c r="M126" s="156" t="s">
        <v>1172</v>
      </c>
    </row>
    <row r="127" spans="2:13" ht="42.6" customHeight="1" x14ac:dyDescent="0.25">
      <c r="B127" s="166" t="s">
        <v>42</v>
      </c>
      <c r="C127" s="167" t="s">
        <v>1173</v>
      </c>
      <c r="D127" s="67">
        <v>0</v>
      </c>
      <c r="E127" s="168" t="s">
        <v>1153</v>
      </c>
      <c r="F127" s="73">
        <v>2026</v>
      </c>
      <c r="G127" s="160" t="s">
        <v>1154</v>
      </c>
      <c r="H127" s="161">
        <v>46255</v>
      </c>
      <c r="I127" s="154" t="s">
        <v>1077</v>
      </c>
      <c r="J127" s="154" t="s">
        <v>1078</v>
      </c>
      <c r="K127" s="155" t="s">
        <v>1079</v>
      </c>
      <c r="L127" s="160" t="s">
        <v>1174</v>
      </c>
      <c r="M127" s="162" t="s">
        <v>1175</v>
      </c>
    </row>
    <row r="128" spans="2:13" ht="42.6" customHeight="1" x14ac:dyDescent="0.25">
      <c r="B128" s="169" t="s">
        <v>606</v>
      </c>
      <c r="C128" s="170" t="s">
        <v>1119</v>
      </c>
      <c r="D128" s="130">
        <v>3</v>
      </c>
      <c r="E128" s="171" t="s">
        <v>1153</v>
      </c>
      <c r="F128" s="75">
        <v>2026</v>
      </c>
      <c r="G128" s="152" t="s">
        <v>1154</v>
      </c>
      <c r="H128" s="153">
        <v>46255</v>
      </c>
      <c r="I128" s="154" t="s">
        <v>1077</v>
      </c>
      <c r="J128" s="154" t="s">
        <v>1078</v>
      </c>
      <c r="K128" s="155" t="s">
        <v>1079</v>
      </c>
      <c r="L128" s="152" t="s">
        <v>1160</v>
      </c>
      <c r="M128" s="156" t="s">
        <v>1176</v>
      </c>
    </row>
    <row r="129" spans="1:13" ht="42.6" customHeight="1" x14ac:dyDescent="0.25">
      <c r="B129" s="166" t="s">
        <v>576</v>
      </c>
      <c r="C129" s="167" t="s">
        <v>1177</v>
      </c>
      <c r="D129" s="67">
        <v>0</v>
      </c>
      <c r="E129" s="168" t="s">
        <v>1153</v>
      </c>
      <c r="F129" s="73">
        <v>2026</v>
      </c>
      <c r="G129" s="160" t="s">
        <v>1154</v>
      </c>
      <c r="H129" s="161">
        <v>46255</v>
      </c>
      <c r="I129" s="154" t="s">
        <v>1077</v>
      </c>
      <c r="J129" s="154" t="s">
        <v>1078</v>
      </c>
      <c r="K129" s="155" t="s">
        <v>1079</v>
      </c>
      <c r="L129" s="160" t="s">
        <v>1160</v>
      </c>
      <c r="M129" s="162" t="s">
        <v>1178</v>
      </c>
    </row>
    <row r="130" spans="1:13" ht="42.6" customHeight="1" x14ac:dyDescent="0.25">
      <c r="B130" s="169" t="s">
        <v>554</v>
      </c>
      <c r="C130" s="170" t="s">
        <v>1179</v>
      </c>
      <c r="D130" s="64">
        <v>0</v>
      </c>
      <c r="E130" s="171" t="s">
        <v>1153</v>
      </c>
      <c r="F130" s="75">
        <v>2026</v>
      </c>
      <c r="G130" s="152" t="s">
        <v>1154</v>
      </c>
      <c r="H130" s="153">
        <v>46255</v>
      </c>
      <c r="I130" s="154" t="s">
        <v>1077</v>
      </c>
      <c r="J130" s="154" t="s">
        <v>1078</v>
      </c>
      <c r="K130" s="155" t="s">
        <v>1079</v>
      </c>
      <c r="L130" s="152" t="s">
        <v>1160</v>
      </c>
      <c r="M130" s="156" t="s">
        <v>1180</v>
      </c>
    </row>
    <row r="131" spans="1:13" ht="69.599999999999994" customHeight="1" x14ac:dyDescent="0.25">
      <c r="B131" s="166" t="s">
        <v>1181</v>
      </c>
      <c r="C131" s="167" t="s">
        <v>1182</v>
      </c>
      <c r="D131" s="67">
        <v>0</v>
      </c>
      <c r="E131" s="168" t="s">
        <v>1153</v>
      </c>
      <c r="F131" s="73">
        <v>2026</v>
      </c>
      <c r="G131" s="160" t="s">
        <v>1154</v>
      </c>
      <c r="H131" s="161">
        <v>46255</v>
      </c>
      <c r="I131" s="154" t="s">
        <v>1077</v>
      </c>
      <c r="J131" s="154" t="s">
        <v>1078</v>
      </c>
      <c r="K131" s="155" t="s">
        <v>1079</v>
      </c>
      <c r="L131" s="160" t="s">
        <v>1183</v>
      </c>
      <c r="M131" s="162" t="s">
        <v>1184</v>
      </c>
    </row>
    <row r="132" spans="1:13" ht="69.599999999999994" customHeight="1" x14ac:dyDescent="0.25">
      <c r="B132" s="169" t="s">
        <v>519</v>
      </c>
      <c r="C132" s="170" t="s">
        <v>1185</v>
      </c>
      <c r="D132" s="130">
        <v>30</v>
      </c>
      <c r="E132" s="171" t="s">
        <v>1153</v>
      </c>
      <c r="F132" s="75">
        <v>2026</v>
      </c>
      <c r="G132" s="152" t="s">
        <v>1154</v>
      </c>
      <c r="H132" s="153">
        <v>46255</v>
      </c>
      <c r="I132" s="154" t="s">
        <v>1077</v>
      </c>
      <c r="J132" s="154" t="s">
        <v>1078</v>
      </c>
      <c r="K132" s="155" t="s">
        <v>1079</v>
      </c>
      <c r="L132" s="152" t="s">
        <v>1186</v>
      </c>
      <c r="M132" s="156" t="s">
        <v>1187</v>
      </c>
    </row>
    <row r="133" spans="1:13" ht="8.1" customHeight="1" x14ac:dyDescent="0.25"/>
    <row r="134" spans="1:13" ht="15.6" customHeight="1" x14ac:dyDescent="0.25">
      <c r="A134" s="187" t="s">
        <v>69</v>
      </c>
      <c r="B134" s="173"/>
      <c r="C134" s="173"/>
      <c r="D134" s="173"/>
      <c r="E134" s="173"/>
      <c r="F134" s="173"/>
      <c r="G134" s="173"/>
      <c r="H134" s="173"/>
      <c r="I134" s="173"/>
      <c r="J134" s="173"/>
      <c r="K134" s="173"/>
      <c r="L134" s="173"/>
      <c r="M134" s="173"/>
    </row>
  </sheetData>
  <sheetProtection sheet="1" formatCells="0" formatColumns="0" formatRows="0" insertRows="0" deleteRows="0"/>
  <mergeCells count="6">
    <mergeCell ref="A103:M103"/>
    <mergeCell ref="A1:M1"/>
    <mergeCell ref="A5:M5"/>
    <mergeCell ref="A3:M3"/>
    <mergeCell ref="A134:M134"/>
    <mergeCell ref="A2:M2"/>
  </mergeCells>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18</vt:i4>
      </vt:variant>
      <vt:variant>
        <vt:lpstr>Named Ranges</vt:lpstr>
      </vt:variant>
      <vt:variant>
        <vt:i4>48</vt:i4>
      </vt:variant>
    </vt:vector>
  </HeadingPairs>
  <TitlesOfParts>
    <vt:vector size="66" baseType="lpstr">
      <vt:lpstr>1. Start Here</vt:lpstr>
      <vt:lpstr>2. Setup</vt:lpstr>
      <vt:lpstr>3. Accounts</vt:lpstr>
      <vt:lpstr>4. AI Assistant</vt:lpstr>
      <vt:lpstr>5. AI Import Staging</vt:lpstr>
      <vt:lpstr>6. Transactions</vt:lpstr>
      <vt:lpstr>7. Settlements</vt:lpstr>
      <vt:lpstr>8. Transfers</vt:lpstr>
      <vt:lpstr>9. Payroll Allocation</vt:lpstr>
      <vt:lpstr>10. Mileage Log</vt:lpstr>
      <vt:lpstr>11. Reconciliation</vt:lpstr>
      <vt:lpstr>12. Dashboard</vt:lpstr>
      <vt:lpstr>13. CPA Handoff</vt:lpstr>
      <vt:lpstr>14. Profit &amp; Loss</vt:lpstr>
      <vt:lpstr>Categories</vt:lpstr>
      <vt:lpstr>Rules</vt:lpstr>
      <vt:lpstr>Rule Exceptions</vt:lpstr>
      <vt:lpstr>Tax Rules</vt:lpstr>
      <vt:lpstr>Acct_Name</vt:lpstr>
      <vt:lpstr>Acct_Type</vt:lpstr>
      <vt:lpstr>Cat_Name</vt:lpstr>
      <vt:lpstr>Cat_Pick</vt:lpstr>
      <vt:lpstr>Cat_Treatment</vt:lpstr>
      <vt:lpstr>Pay_Cash</vt:lpstr>
      <vt:lpstr>Pay_Comp</vt:lpstr>
      <vt:lpstr>Pay_Exp</vt:lpstr>
      <vt:lpstr>Pay_Owner_Taxes</vt:lpstr>
      <vt:lpstr>Pay_Owner_Wages</vt:lpstr>
      <vt:lpstr>Pay_Run</vt:lpstr>
      <vt:lpstr>PL_Diff</vt:lpstr>
      <vt:lpstr>'14. Profit &amp; Loss'!Print_Area</vt:lpstr>
      <vt:lpstr>'14. Profit &amp; Loss'!Print_Titles</vt:lpstr>
      <vt:lpstr>Rules_Active</vt:lpstr>
      <vt:lpstr>Rules_Cat</vt:lpstr>
      <vt:lpstr>Rules_Dir</vt:lpstr>
      <vt:lpstr>Rules_Key</vt:lpstr>
      <vt:lpstr>Rules_Pri</vt:lpstr>
      <vt:lpstr>S1120_Caption</vt:lpstr>
      <vt:lpstr>S1120_Line</vt:lpstr>
      <vt:lpstr>S1120_Pilot</vt:lpstr>
      <vt:lpstr>SCL_Caption</vt:lpstr>
      <vt:lpstr>SCL_Line</vt:lpstr>
      <vt:lpstr>SCL_Pilot</vt:lpstr>
      <vt:lpstr>Stg_Acct</vt:lpstr>
      <vt:lpstr>Stg_Date</vt:lpstr>
      <vt:lpstr>Stg_Desc</vt:lpstr>
      <vt:lpstr>Stg_In</vt:lpstr>
      <vt:lpstr>Stg_Key</vt:lpstr>
      <vt:lpstr>Stg_Out</vt:lpstr>
      <vt:lpstr>TR_From</vt:lpstr>
      <vt:lpstr>TR_Id</vt:lpstr>
      <vt:lpstr>TR_To</vt:lpstr>
      <vt:lpstr>TR_Value</vt:lpstr>
      <vt:lpstr>Txn_Acct</vt:lpstr>
      <vt:lpstr>Txn_Cat</vt:lpstr>
      <vt:lpstr>Txn_Date</vt:lpstr>
      <vt:lpstr>Txn_Ded</vt:lpstr>
      <vt:lpstr>Txn_Desc</vt:lpstr>
      <vt:lpstr>Txn_ID</vt:lpstr>
      <vt:lpstr>Txn_In</vt:lpstr>
      <vt:lpstr>Txn_Link</vt:lpstr>
      <vt:lpstr>Txn_Out</vt:lpstr>
      <vt:lpstr>Txn_Rev</vt:lpstr>
      <vt:lpstr>Txn_Treat</vt:lpstr>
      <vt:lpstr>Yr_End</vt:lpstr>
      <vt:lpstr>Yr_Start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Powell United Bookkeeping Starter - Healthcare &amp; Care Services Edition</dc:title>
  <dc:creator>Powell United Financial Services</dc:creator>
  <dc:description>A guided workbook that helps owner-led healthcare and care-service businesses organize transactions, validate imports, reconcile accounts, and prepare records for professional review.  v1.2 PILOT EDITION - for your practice only</dc:description>
  <cp:lastModifiedBy>Powell United Financial Services, LLC</cp:lastModifiedBy>
  <dcterms:created xsi:type="dcterms:W3CDTF">2026-08-01T00:00:00Z</dcterms:created>
  <dcterms:modified xsi:type="dcterms:W3CDTF">2026-09-21T17:01:21Z</dcterms:modified>
</cp:coreProperties>
</file>